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tables/table19.xml" ContentType="application/vnd.openxmlformats-officedocument.spreadsheetml.table+xml"/>
  <Override PartName="/xl/charts/chart13.xml" ContentType="application/vnd.openxmlformats-officedocument.drawingml.chart+xml"/>
  <Override PartName="/xl/drawings/drawing26.xml" ContentType="application/vnd.openxmlformats-officedocument.drawingml.chartshapes+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31.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tables/table27.xml" ContentType="application/vnd.openxmlformats-officedocument.spreadsheetml.table+xml"/>
  <Override PartName="/xl/drawings/drawing34.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35.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37.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38.xml" ContentType="application/vnd.openxmlformats-officedocument.drawing+xml"/>
  <Override PartName="/xl/tables/table46.xml" ContentType="application/vnd.openxmlformats-officedocument.spreadsheetml.table+xml"/>
  <Override PartName="/xl/tables/table47.xml" ContentType="application/vnd.openxmlformats-officedocument.spreadsheetml.table+xml"/>
  <Override PartName="/xl/drawings/drawing39.xml" ContentType="application/vnd.openxmlformats-officedocument.drawing+xml"/>
  <Override PartName="/xl/tables/table48.xml" ContentType="application/vnd.openxmlformats-officedocument.spreadsheetml.table+xml"/>
  <Override PartName="/xl/tables/table49.xml" ContentType="application/vnd.openxmlformats-officedocument.spreadsheetml.table+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wfs\Dados\07 FINANCAS\07.10 TESOURARIA\Risco\FIDC\Driver Brazil\DB4 FOUR\Monthly Investor Report FOUR\202002\"/>
    </mc:Choice>
  </mc:AlternateContent>
  <bookViews>
    <workbookView xWindow="-15" yWindow="3585" windowWidth="4665" windowHeight="3810" tabRatio="919" firstSheet="2" activeTab="3"/>
  </bookViews>
  <sheets>
    <sheet name="Input" sheetId="31" state="hidden" r:id="rId1"/>
    <sheet name="Validation" sheetId="33" state="hidden" r:id="rId2"/>
    <sheet name="Cover" sheetId="5" r:id="rId3"/>
    <sheet name="Index" sheetId="19" r:id="rId4"/>
    <sheet name="Reporting Details" sheetId="6" r:id="rId5"/>
    <sheet name="Parties Overview" sheetId="7" r:id="rId6"/>
    <sheet name="Transaction Events I" sheetId="26" r:id="rId7"/>
    <sheet name="Transaction Events II" sheetId="46" r:id="rId8"/>
    <sheet name="Transaction Events III" sheetId="37" r:id="rId9"/>
    <sheet name="Notes I" sheetId="9" r:id="rId10"/>
    <sheet name="Notes II" sheetId="10" r:id="rId11"/>
    <sheet name="Credit Enhancement" sheetId="11" r:id="rId12"/>
    <sheet name="Swaps &amp; Waterfall" sheetId="12" r:id="rId13"/>
    <sheet name="Amortisation Profile I" sheetId="28" r:id="rId14"/>
    <sheet name="Amortisation Profile II" sheetId="13" r:id="rId15"/>
    <sheet name="Run Out Schedule" sheetId="21" r:id="rId16"/>
    <sheet name="Run Out Schedule II" sheetId="27" r:id="rId17"/>
    <sheet name="Outstanding Contracts" sheetId="38" r:id="rId18"/>
    <sheet name="Delinquencies" sheetId="48" r:id="rId19"/>
    <sheet name="Recoveries" sheetId="50" r:id="rId20"/>
    <sheet name="Pool Data I" sheetId="39" r:id="rId21"/>
    <sheet name="Pool Data II" sheetId="40" r:id="rId22"/>
    <sheet name="Pool Data III" sheetId="41" r:id="rId23"/>
    <sheet name="Pool Data IV" sheetId="44" r:id="rId24"/>
    <sheet name="Pool Data V" sheetId="43" r:id="rId25"/>
    <sheet name="Pool Data VI" sheetId="58" state="hidden" r:id="rId26"/>
    <sheet name="Glossary" sheetId="53" r:id="rId27"/>
    <sheet name="Data for Charts" sheetId="51" state="hidden" r:id="rId28"/>
    <sheet name="check" sheetId="52" state="hidden" r:id="rId29"/>
    <sheet name="Feriado" sheetId="54" state="hidden" r:id="rId30"/>
    <sheet name="Sheet1" sheetId="55" state="hidden" r:id="rId31"/>
    <sheet name="Sheet2" sheetId="56" state="hidden" r:id="rId32"/>
  </sheets>
  <externalReferences>
    <externalReference r:id="rId33"/>
    <externalReference r:id="rId34"/>
    <externalReference r:id="rId35"/>
    <externalReference r:id="rId36"/>
    <externalReference r:id="rId37"/>
    <externalReference r:id="rId38"/>
  </externalReferences>
  <definedNames>
    <definedName name="_DV_C140" localSheetId="13">'Amortisation Profile I'!#REF!</definedName>
    <definedName name="_DV_C140" localSheetId="14">'Amortisation Profile II'!#REF!</definedName>
    <definedName name="_DV_C140" localSheetId="2">Cover!$G$5</definedName>
    <definedName name="_DV_C140" localSheetId="11">'Credit Enhancement'!#REF!</definedName>
    <definedName name="_DV_C140" localSheetId="9">'Notes I'!#REF!</definedName>
    <definedName name="_DV_C140" localSheetId="10">'Notes II'!#REF!</definedName>
    <definedName name="_DV_C140" localSheetId="5">'Parties Overview'!#REF!</definedName>
    <definedName name="_DV_C140" localSheetId="4">'Reporting Details'!#REF!</definedName>
    <definedName name="_DV_C140" localSheetId="15">'Run Out Schedule'!#REF!</definedName>
    <definedName name="_DV_C140" localSheetId="16">'Run Out Schedule II'!#REF!</definedName>
    <definedName name="_DV_C140" localSheetId="12">'Swaps &amp; Waterfall'!#REF!</definedName>
    <definedName name="_DV_C140" localSheetId="6">'Transaction Events I'!#REF!</definedName>
    <definedName name="_DV_C140" localSheetId="7">'Transaction Events II'!#REF!</definedName>
    <definedName name="_DV_M217" localSheetId="13">'Amortisation Profile I'!#REF!</definedName>
    <definedName name="_DV_M217" localSheetId="14">'Amortisation Profile II'!#REF!</definedName>
    <definedName name="_DV_M217" localSheetId="2">Cover!$G$5</definedName>
    <definedName name="_DV_M217" localSheetId="11">'Credit Enhancement'!#REF!</definedName>
    <definedName name="_DV_M217" localSheetId="9">'Notes I'!#REF!</definedName>
    <definedName name="_DV_M217" localSheetId="10">'Notes II'!#REF!</definedName>
    <definedName name="_DV_M217" localSheetId="5">'Parties Overview'!#REF!</definedName>
    <definedName name="_DV_M217" localSheetId="4">'Reporting Details'!#REF!</definedName>
    <definedName name="_DV_M217" localSheetId="15">'Run Out Schedule'!#REF!</definedName>
    <definedName name="_DV_M217" localSheetId="16">'Run Out Schedule II'!#REF!</definedName>
    <definedName name="_DV_M217" localSheetId="12">'Swaps &amp; Waterfall'!#REF!</definedName>
    <definedName name="_DV_M217" localSheetId="6">'Transaction Events I'!#REF!</definedName>
    <definedName name="_DV_M217" localSheetId="7">'Transaction Events II'!#REF!</definedName>
    <definedName name="_DV_M218" localSheetId="13">'Amortisation Profile I'!#REF!</definedName>
    <definedName name="_DV_M218" localSheetId="14">'Amortisation Profile II'!#REF!</definedName>
    <definedName name="_DV_M218" localSheetId="2">Cover!$G$6</definedName>
    <definedName name="_DV_M218" localSheetId="11">'Credit Enhancement'!#REF!</definedName>
    <definedName name="_DV_M218" localSheetId="9">'Notes I'!#REF!</definedName>
    <definedName name="_DV_M218" localSheetId="10">'Notes II'!#REF!</definedName>
    <definedName name="_DV_M218" localSheetId="5">'Parties Overview'!#REF!</definedName>
    <definedName name="_DV_M218" localSheetId="4">'Reporting Details'!#REF!</definedName>
    <definedName name="_DV_M218" localSheetId="15">'Run Out Schedule'!#REF!</definedName>
    <definedName name="_DV_M218" localSheetId="16">'Run Out Schedule II'!#REF!</definedName>
    <definedName name="_DV_M218" localSheetId="12">'Swaps &amp; Waterfall'!#REF!</definedName>
    <definedName name="_DV_M218" localSheetId="6">'Transaction Events I'!#REF!</definedName>
    <definedName name="_DV_M218" localSheetId="7">'Transaction Events II'!#REF!</definedName>
    <definedName name="_DV_M219" localSheetId="13">'Amortisation Profile I'!#REF!</definedName>
    <definedName name="_DV_M219" localSheetId="14">'Amortisation Profile II'!#REF!</definedName>
    <definedName name="_DV_M219" localSheetId="2">Cover!$G$7</definedName>
    <definedName name="_DV_M219" localSheetId="11">'Credit Enhancement'!#REF!</definedName>
    <definedName name="_DV_M219" localSheetId="9">'Notes I'!#REF!</definedName>
    <definedName name="_DV_M219" localSheetId="10">'Notes II'!#REF!</definedName>
    <definedName name="_DV_M219" localSheetId="5">'Parties Overview'!#REF!</definedName>
    <definedName name="_DV_M219" localSheetId="4">'Reporting Details'!#REF!</definedName>
    <definedName name="_DV_M219" localSheetId="15">'Run Out Schedule'!#REF!</definedName>
    <definedName name="_DV_M219" localSheetId="16">'Run Out Schedule II'!#REF!</definedName>
    <definedName name="_DV_M219" localSheetId="12">'Swaps &amp; Waterfall'!#REF!</definedName>
    <definedName name="_DV_M219" localSheetId="6">'Transaction Events I'!#REF!</definedName>
    <definedName name="_DV_M219" localSheetId="7">'Transaction Events II'!#REF!</definedName>
    <definedName name="_DV_M220" localSheetId="13">'Amortisation Profile I'!#REF!</definedName>
    <definedName name="_DV_M220" localSheetId="14">'Amortisation Profile II'!#REF!</definedName>
    <definedName name="_DV_M220" localSheetId="2">Cover!#REF!</definedName>
    <definedName name="_DV_M220" localSheetId="11">'Credit Enhancement'!#REF!</definedName>
    <definedName name="_DV_M220" localSheetId="9">'Notes I'!#REF!</definedName>
    <definedName name="_DV_M220" localSheetId="10">'Notes II'!#REF!</definedName>
    <definedName name="_DV_M220" localSheetId="5">'Parties Overview'!#REF!</definedName>
    <definedName name="_DV_M220" localSheetId="4">'Reporting Details'!#REF!</definedName>
    <definedName name="_DV_M220" localSheetId="15">'Run Out Schedule'!#REF!</definedName>
    <definedName name="_DV_M220" localSheetId="16">'Run Out Schedule II'!#REF!</definedName>
    <definedName name="_DV_M220" localSheetId="12">'Swaps &amp; Waterfall'!#REF!</definedName>
    <definedName name="_DV_M220" localSheetId="6">'Transaction Events I'!#REF!</definedName>
    <definedName name="_DV_M220" localSheetId="7">'Transaction Events II'!#REF!</definedName>
    <definedName name="_DV_M221" localSheetId="13">'Amortisation Profile I'!#REF!</definedName>
    <definedName name="_DV_M221" localSheetId="14">'Amortisation Profile II'!#REF!</definedName>
    <definedName name="_DV_M221" localSheetId="2">Cover!#REF!</definedName>
    <definedName name="_DV_M221" localSheetId="11">'Credit Enhancement'!#REF!</definedName>
    <definedName name="_DV_M221" localSheetId="9">'Notes I'!#REF!</definedName>
    <definedName name="_DV_M221" localSheetId="10">'Notes II'!#REF!</definedName>
    <definedName name="_DV_M221" localSheetId="5">'Parties Overview'!#REF!</definedName>
    <definedName name="_DV_M221" localSheetId="4">'Reporting Details'!#REF!</definedName>
    <definedName name="_DV_M221" localSheetId="15">'Run Out Schedule'!#REF!</definedName>
    <definedName name="_DV_M221" localSheetId="16">'Run Out Schedule II'!#REF!</definedName>
    <definedName name="_DV_M221" localSheetId="12">'Swaps &amp; Waterfall'!#REF!</definedName>
    <definedName name="_DV_M221" localSheetId="6">'Transaction Events I'!#REF!</definedName>
    <definedName name="_DV_M221" localSheetId="7">'Transaction Events II'!#REF!</definedName>
    <definedName name="_DV_M222" localSheetId="13">'Amortisation Profile I'!#REF!</definedName>
    <definedName name="_DV_M222" localSheetId="14">'Amortisation Profile II'!#REF!</definedName>
    <definedName name="_DV_M222" localSheetId="2">Cover!#REF!</definedName>
    <definedName name="_DV_M222" localSheetId="11">'Credit Enhancement'!#REF!</definedName>
    <definedName name="_DV_M222" localSheetId="9">'Notes I'!#REF!</definedName>
    <definedName name="_DV_M222" localSheetId="10">'Notes II'!#REF!</definedName>
    <definedName name="_DV_M222" localSheetId="5">'Parties Overview'!#REF!</definedName>
    <definedName name="_DV_M222" localSheetId="4">'Reporting Details'!#REF!</definedName>
    <definedName name="_DV_M222" localSheetId="15">'Run Out Schedule'!#REF!</definedName>
    <definedName name="_DV_M222" localSheetId="16">'Run Out Schedule II'!#REF!</definedName>
    <definedName name="_DV_M222" localSheetId="12">'Swaps &amp; Waterfall'!#REF!</definedName>
    <definedName name="_DV_M222" localSheetId="6">'Transaction Events I'!#REF!</definedName>
    <definedName name="_DV_M222" localSheetId="7">'Transaction Events II'!#REF!</definedName>
    <definedName name="_DV_M23" localSheetId="13">'Amortisation Profile I'!#REF!</definedName>
    <definedName name="_DV_M23" localSheetId="14">'Amortisation Profile II'!#REF!</definedName>
    <definedName name="_DV_M23" localSheetId="2">Cover!#REF!</definedName>
    <definedName name="_DV_M23" localSheetId="11">'Credit Enhancement'!#REF!</definedName>
    <definedName name="_DV_M23" localSheetId="9">'Notes I'!#REF!</definedName>
    <definedName name="_DV_M23" localSheetId="10">'Notes II'!#REF!</definedName>
    <definedName name="_DV_M23" localSheetId="5">'Parties Overview'!#REF!</definedName>
    <definedName name="_DV_M23" localSheetId="4">'Reporting Details'!#REF!</definedName>
    <definedName name="_DV_M23" localSheetId="15">'Run Out Schedule'!#REF!</definedName>
    <definedName name="_DV_M23" localSheetId="16">'Run Out Schedule II'!#REF!</definedName>
    <definedName name="_DV_M23" localSheetId="12">'Swaps &amp; Waterfall'!#REF!</definedName>
    <definedName name="_DV_M23" localSheetId="6">'Transaction Events I'!#REF!</definedName>
    <definedName name="_DV_M23" localSheetId="7">'Transaction Events II'!#REF!</definedName>
    <definedName name="ABNAn" localSheetId="13">#REF!,#REF!,#REF!</definedName>
    <definedName name="ABNAn" localSheetId="25">#REF!,#REF!,#REF!</definedName>
    <definedName name="ABNAn" localSheetId="16">#REF!,#REF!,#REF!</definedName>
    <definedName name="ABNAn" localSheetId="6">#REF!,#REF!,#REF!</definedName>
    <definedName name="ABNAn" localSheetId="7">#REF!,#REF!,#REF!</definedName>
    <definedName name="ABNAn">#REF!,#REF!,#REF!</definedName>
    <definedName name="ABNAÜ" localSheetId="13">#REF!,#REF!</definedName>
    <definedName name="ABNAÜ" localSheetId="25">#REF!,#REF!</definedName>
    <definedName name="ABNAÜ" localSheetId="16">#REF!,#REF!</definedName>
    <definedName name="ABNAÜ" localSheetId="6">#REF!,#REF!</definedName>
    <definedName name="ABNAÜ" localSheetId="7">#REF!,#REF!</definedName>
    <definedName name="ABNAÜ">#REF!,#REF!</definedName>
    <definedName name="Adressenübersicht" localSheetId="25">'Pool Data VI'!Adressenübersicht</definedName>
    <definedName name="Adressenübersicht">'Pool Data VI'!Adressenübersicht</definedName>
    <definedName name="AGL_löschen">[1]!AGL_löschen</definedName>
    <definedName name="Auswahl_Anschreiben" localSheetId="25">'Pool Data VI'!Auswahl_Anschreiben</definedName>
    <definedName name="Auswahl_Anschreiben">'Pool Data VI'!Auswahl_Anschreiben</definedName>
    <definedName name="AvailCollectionsAmount">[2]Waterfall!$C$7</definedName>
    <definedName name="AvailDistAmount">[2]Waterfall!$C$13</definedName>
    <definedName name="BancoAn" localSheetId="13">#REF!,#REF!,#REF!</definedName>
    <definedName name="BancoAn" localSheetId="25">#REF!,#REF!,#REF!</definedName>
    <definedName name="BancoAn" localSheetId="16">#REF!,#REF!,#REF!</definedName>
    <definedName name="BancoAn" localSheetId="6">#REF!,#REF!,#REF!</definedName>
    <definedName name="BancoAn" localSheetId="7">#REF!,#REF!,#REF!</definedName>
    <definedName name="BancoAn">#REF!,#REF!,#REF!</definedName>
    <definedName name="BancoAÜ" localSheetId="13">#REF!,#REF!</definedName>
    <definedName name="BancoAÜ" localSheetId="25">#REF!,#REF!</definedName>
    <definedName name="BancoAÜ" localSheetId="16">#REF!,#REF!</definedName>
    <definedName name="BancoAÜ" localSheetId="6">#REF!,#REF!</definedName>
    <definedName name="BancoAÜ" localSheetId="7">#REF!,#REF!</definedName>
    <definedName name="BancoAÜ">#REF!,#REF!</definedName>
    <definedName name="Banken" localSheetId="25">'Pool Data VI'!Banken</definedName>
    <definedName name="Banken">'Pool Data VI'!Banken</definedName>
    <definedName name="Bankverbindungen" localSheetId="25">'Pool Data VI'!Bankverbindungen</definedName>
    <definedName name="Bankverbindungen">'Pool Data VI'!Bankverbindungen</definedName>
    <definedName name="BayerischeAn" localSheetId="13">#REF!,#REF!,#REF!</definedName>
    <definedName name="BayerischeAn" localSheetId="25">#REF!,#REF!,#REF!</definedName>
    <definedName name="BayerischeAn" localSheetId="16">#REF!,#REF!,#REF!</definedName>
    <definedName name="BayerischeAn" localSheetId="6">#REF!,#REF!,#REF!</definedName>
    <definedName name="BayerischeAn" localSheetId="7">#REF!,#REF!,#REF!</definedName>
    <definedName name="BayerischeAn">#REF!,#REF!,#REF!</definedName>
    <definedName name="BayerischeAÜ" localSheetId="13">#REF!,#REF!</definedName>
    <definedName name="BayerischeAÜ" localSheetId="25">#REF!,#REF!</definedName>
    <definedName name="BayerischeAÜ" localSheetId="16">#REF!,#REF!</definedName>
    <definedName name="BayerischeAÜ" localSheetId="6">#REF!,#REF!</definedName>
    <definedName name="BayerischeAÜ" localSheetId="7">#REF!,#REF!</definedName>
    <definedName name="BayerischeAÜ">#REF!,#REF!</definedName>
    <definedName name="bbbb" localSheetId="25">'Pool Data VI'!bbbb</definedName>
    <definedName name="bbbb">'Pool Data VI'!bbbb</definedName>
    <definedName name="BFG" localSheetId="13">#REF!</definedName>
    <definedName name="BFG" localSheetId="25">#REF!</definedName>
    <definedName name="BFG" localSheetId="16">#REF!</definedName>
    <definedName name="BFG" localSheetId="6">#REF!</definedName>
    <definedName name="BFG" localSheetId="7">#REF!</definedName>
    <definedName name="BFG">#REF!</definedName>
    <definedName name="BFGAn1" localSheetId="13">#REF!,#REF!,#REF!,#REF!,#REF!,#REF!</definedName>
    <definedName name="BFGAn1" localSheetId="25">#REF!,#REF!,#REF!,#REF!,#REF!,#REF!</definedName>
    <definedName name="BFGAn1" localSheetId="16">#REF!,#REF!,#REF!,#REF!,#REF!,#REF!</definedName>
    <definedName name="BFGAn1" localSheetId="6">#REF!,#REF!,#REF!,#REF!,#REF!,#REF!</definedName>
    <definedName name="BFGAn1" localSheetId="7">#REF!,#REF!,#REF!,#REF!,#REF!,#REF!</definedName>
    <definedName name="BFGAn1">#REF!,#REF!,#REF!,#REF!,#REF!,#REF!</definedName>
    <definedName name="BFGAn2" localSheetId="13">#REF!,#REF!,#REF!</definedName>
    <definedName name="BFGAn2" localSheetId="25">#REF!,#REF!,#REF!</definedName>
    <definedName name="BFGAn2" localSheetId="16">#REF!,#REF!,#REF!</definedName>
    <definedName name="BFGAn2" localSheetId="6">#REF!,#REF!,#REF!</definedName>
    <definedName name="BFGAn2" localSheetId="7">#REF!,#REF!,#REF!</definedName>
    <definedName name="BFGAn2">#REF!,#REF!,#REF!</definedName>
    <definedName name="BFGAÜ" localSheetId="13">#REF!,#REF!,#REF!,#REF!</definedName>
    <definedName name="BFGAÜ" localSheetId="25">#REF!,#REF!,#REF!,#REF!</definedName>
    <definedName name="BFGAÜ" localSheetId="16">#REF!,#REF!,#REF!,#REF!</definedName>
    <definedName name="BFGAÜ" localSheetId="6">#REF!,#REF!,#REF!,#REF!</definedName>
    <definedName name="BFGAÜ" localSheetId="7">#REF!,#REF!,#REF!,#REF!</definedName>
    <definedName name="BFGAÜ">#REF!,#REF!,#REF!,#REF!</definedName>
    <definedName name="BLBA" localSheetId="13">#REF!,#REF!,#REF!</definedName>
    <definedName name="BLBA" localSheetId="25">#REF!,#REF!,#REF!</definedName>
    <definedName name="BLBA" localSheetId="16">#REF!,#REF!,#REF!</definedName>
    <definedName name="BLBA" localSheetId="6">#REF!,#REF!,#REF!</definedName>
    <definedName name="BLBA" localSheetId="7">#REF!,#REF!,#REF!</definedName>
    <definedName name="BLBA">#REF!,#REF!,#REF!</definedName>
    <definedName name="call_percentage" localSheetId="13">#REF!</definedName>
    <definedName name="call_percentage" localSheetId="25">#REF!</definedName>
    <definedName name="call_percentage" localSheetId="16">#REF!</definedName>
    <definedName name="call_percentage" localSheetId="6">#REF!</definedName>
    <definedName name="call_percentage" localSheetId="7">#REF!</definedName>
    <definedName name="call_percentage">#REF!</definedName>
    <definedName name="class_A_amount" localSheetId="13">#REF!</definedName>
    <definedName name="class_A_amount" localSheetId="25">#REF!</definedName>
    <definedName name="class_A_amount" localSheetId="16">#REF!</definedName>
    <definedName name="class_A_amount" localSheetId="6">#REF!</definedName>
    <definedName name="class_A_amount" localSheetId="7">#REF!</definedName>
    <definedName name="class_A_amount">#REF!</definedName>
    <definedName name="class_A_coupon" localSheetId="13">#REF!</definedName>
    <definedName name="class_A_coupon" localSheetId="25">#REF!</definedName>
    <definedName name="class_A_coupon" localSheetId="16">#REF!</definedName>
    <definedName name="class_A_coupon" localSheetId="6">#REF!</definedName>
    <definedName name="class_A_coupon" localSheetId="7">#REF!</definedName>
    <definedName name="class_A_coupon">#REF!</definedName>
    <definedName name="class_A_spread" localSheetId="13">#REF!</definedName>
    <definedName name="class_A_spread" localSheetId="25">#REF!</definedName>
    <definedName name="class_A_spread" localSheetId="16">#REF!</definedName>
    <definedName name="class_A_spread" localSheetId="6">#REF!</definedName>
    <definedName name="class_A_spread" localSheetId="7">#REF!</definedName>
    <definedName name="class_A_spread">#REF!</definedName>
    <definedName name="class_A_Target_OC" localSheetId="13">#REF!</definedName>
    <definedName name="class_A_Target_OC" localSheetId="25">#REF!</definedName>
    <definedName name="class_A_Target_OC" localSheetId="16">#REF!</definedName>
    <definedName name="class_A_Target_OC" localSheetId="6">#REF!</definedName>
    <definedName name="class_A_Target_OC" localSheetId="7">#REF!</definedName>
    <definedName name="class_A_Target_OC">#REF!</definedName>
    <definedName name="class_B_amount" localSheetId="13">#REF!</definedName>
    <definedName name="class_B_amount" localSheetId="25">#REF!</definedName>
    <definedName name="class_B_amount" localSheetId="16">#REF!</definedName>
    <definedName name="class_B_amount" localSheetId="6">#REF!</definedName>
    <definedName name="class_B_amount" localSheetId="7">#REF!</definedName>
    <definedName name="class_B_amount">#REF!</definedName>
    <definedName name="class_B_coupon" localSheetId="13">#REF!</definedName>
    <definedName name="class_B_coupon" localSheetId="25">#REF!</definedName>
    <definedName name="class_B_coupon" localSheetId="16">#REF!</definedName>
    <definedName name="class_B_coupon" localSheetId="6">#REF!</definedName>
    <definedName name="class_B_coupon" localSheetId="7">#REF!</definedName>
    <definedName name="class_B_coupon">#REF!</definedName>
    <definedName name="class_B_spread" localSheetId="13">#REF!</definedName>
    <definedName name="class_B_spread" localSheetId="25">#REF!</definedName>
    <definedName name="class_B_spread" localSheetId="16">#REF!</definedName>
    <definedName name="class_B_spread" localSheetId="6">#REF!</definedName>
    <definedName name="class_B_spread" localSheetId="7">#REF!</definedName>
    <definedName name="class_B_spread">#REF!</definedName>
    <definedName name="class_B_Target_OC" localSheetId="13">#REF!</definedName>
    <definedName name="class_B_Target_OC" localSheetId="25">#REF!</definedName>
    <definedName name="class_B_Target_OC" localSheetId="16">#REF!</definedName>
    <definedName name="class_B_Target_OC" localSheetId="6">#REF!</definedName>
    <definedName name="class_B_Target_OC" localSheetId="7">#REF!</definedName>
    <definedName name="class_B_Target_OC">#REF!</definedName>
    <definedName name="class_C_amount" localSheetId="13">#REF!</definedName>
    <definedName name="class_C_amount" localSheetId="25">#REF!</definedName>
    <definedName name="class_C_amount" localSheetId="16">#REF!</definedName>
    <definedName name="class_C_amount" localSheetId="6">#REF!</definedName>
    <definedName name="class_C_amount" localSheetId="7">#REF!</definedName>
    <definedName name="class_C_amount">#REF!</definedName>
    <definedName name="class_C_coupon" localSheetId="13">#REF!</definedName>
    <definedName name="class_C_coupon" localSheetId="25">#REF!</definedName>
    <definedName name="class_C_coupon" localSheetId="16">#REF!</definedName>
    <definedName name="class_C_coupon" localSheetId="6">#REF!</definedName>
    <definedName name="class_C_coupon" localSheetId="7">#REF!</definedName>
    <definedName name="class_C_coupon">#REF!</definedName>
    <definedName name="class_C_spread" localSheetId="13">#REF!</definedName>
    <definedName name="class_C_spread" localSheetId="25">#REF!</definedName>
    <definedName name="class_C_spread" localSheetId="16">#REF!</definedName>
    <definedName name="class_C_spread" localSheetId="6">#REF!</definedName>
    <definedName name="class_C_spread" localSheetId="7">#REF!</definedName>
    <definedName name="class_C_spread">#REF!</definedName>
    <definedName name="CobaAn" localSheetId="13">#REF!,#REF!,#REF!</definedName>
    <definedName name="CobaAn" localSheetId="25">#REF!,#REF!,#REF!</definedName>
    <definedName name="CobaAn" localSheetId="16">#REF!,#REF!,#REF!</definedName>
    <definedName name="CobaAn" localSheetId="6">#REF!,#REF!,#REF!</definedName>
    <definedName name="CobaAn" localSheetId="7">#REF!,#REF!,#REF!</definedName>
    <definedName name="CobaAn">#REF!,#REF!,#REF!</definedName>
    <definedName name="CobaAÜ" localSheetId="13">#REF!,#REF!,#REF!</definedName>
    <definedName name="CobaAÜ" localSheetId="25">#REF!,#REF!,#REF!</definedName>
    <definedName name="CobaAÜ" localSheetId="16">#REF!,#REF!,#REF!</definedName>
    <definedName name="CobaAÜ" localSheetId="6">#REF!,#REF!,#REF!</definedName>
    <definedName name="CobaAÜ" localSheetId="7">#REF!,#REF!,#REF!</definedName>
    <definedName name="CobaAÜ">#REF!,#REF!,#REF!</definedName>
    <definedName name="Darlehn" localSheetId="25">'Pool Data VI'!Darlehn</definedName>
    <definedName name="Darlehn">'Pool Data VI'!Darlehn</definedName>
    <definedName name="DB_Vorschuss" localSheetId="13">#REF!</definedName>
    <definedName name="DB_Vorschuss" localSheetId="25">#REF!</definedName>
    <definedName name="DB_Vorschuss" localSheetId="16">#REF!</definedName>
    <definedName name="DB_Vorschuss" localSheetId="6">#REF!</definedName>
    <definedName name="DB_Vorschuss" localSheetId="7">#REF!</definedName>
    <definedName name="DB_Vorschuss">#REF!</definedName>
    <definedName name="Debi_Kredi_Übersicht" localSheetId="25">'Pool Data VI'!Debi_Kredi_Übersicht</definedName>
    <definedName name="Debi_Kredi_Übersicht">'Pool Data VI'!Debi_Kredi_Übersicht</definedName>
    <definedName name="DeutscheAn1" localSheetId="13">#REF!,#REF!,#REF!</definedName>
    <definedName name="DeutscheAn1" localSheetId="25">#REF!,#REF!,#REF!</definedName>
    <definedName name="DeutscheAn1" localSheetId="16">#REF!,#REF!,#REF!</definedName>
    <definedName name="DeutscheAn1" localSheetId="6">#REF!,#REF!,#REF!</definedName>
    <definedName name="DeutscheAn1" localSheetId="7">#REF!,#REF!,#REF!</definedName>
    <definedName name="DeutscheAn1">#REF!,#REF!,#REF!</definedName>
    <definedName name="DeutscheAn2" localSheetId="13">#REF!,#REF!,#REF!</definedName>
    <definedName name="DeutscheAn2" localSheetId="25">#REF!,#REF!,#REF!</definedName>
    <definedName name="DeutscheAn2" localSheetId="16">#REF!,#REF!,#REF!</definedName>
    <definedName name="DeutscheAn2" localSheetId="6">#REF!,#REF!,#REF!</definedName>
    <definedName name="DeutscheAn2" localSheetId="7">#REF!,#REF!,#REF!</definedName>
    <definedName name="DeutscheAn2">#REF!,#REF!,#REF!</definedName>
    <definedName name="DeutscheAÜ" localSheetId="13">#REF!,#REF!</definedName>
    <definedName name="DeutscheAÜ" localSheetId="25">#REF!,#REF!</definedName>
    <definedName name="DeutscheAÜ" localSheetId="16">#REF!,#REF!</definedName>
    <definedName name="DeutscheAÜ" localSheetId="6">#REF!,#REF!</definedName>
    <definedName name="DeutscheAÜ" localSheetId="7">#REF!,#REF!</definedName>
    <definedName name="DeutscheAÜ">#REF!,#REF!</definedName>
    <definedName name="Discounted_BoP">'[2]Asset Development'!$E$9</definedName>
    <definedName name="Discounted_EoP">'[2]Asset Development'!$E$10</definedName>
    <definedName name="dRAFT" localSheetId="25">'Pool Data VI'!dRAFT</definedName>
    <definedName name="dRAFT">'Pool Data VI'!dRAFT</definedName>
    <definedName name="Dresdner_Bank_LuxembourgAn" localSheetId="13">#REF!,#REF!,#REF!</definedName>
    <definedName name="Dresdner_Bank_LuxembourgAn" localSheetId="25">#REF!,#REF!,#REF!</definedName>
    <definedName name="Dresdner_Bank_LuxembourgAn" localSheetId="16">#REF!,#REF!,#REF!</definedName>
    <definedName name="Dresdner_Bank_LuxembourgAn" localSheetId="6">#REF!,#REF!,#REF!</definedName>
    <definedName name="Dresdner_Bank_LuxembourgAn" localSheetId="7">#REF!,#REF!,#REF!</definedName>
    <definedName name="Dresdner_Bank_LuxembourgAn">#REF!,#REF!,#REF!</definedName>
    <definedName name="DresdnerAn" localSheetId="13">#REF!,#REF!,#REF!</definedName>
    <definedName name="DresdnerAn" localSheetId="25">#REF!,#REF!,#REF!</definedName>
    <definedName name="DresdnerAn" localSheetId="16">#REF!,#REF!,#REF!</definedName>
    <definedName name="DresdnerAn" localSheetId="6">#REF!,#REF!,#REF!</definedName>
    <definedName name="DresdnerAn" localSheetId="7">#REF!,#REF!,#REF!</definedName>
    <definedName name="DresdnerAn">#REF!,#REF!,#REF!</definedName>
    <definedName name="DresdnerAÜ" localSheetId="13">#REF!,#REF!</definedName>
    <definedName name="DresdnerAÜ" localSheetId="25">#REF!,#REF!</definedName>
    <definedName name="DresdnerAÜ" localSheetId="16">#REF!,#REF!</definedName>
    <definedName name="DresdnerAÜ" localSheetId="6">#REF!,#REF!</definedName>
    <definedName name="DresdnerAÜ" localSheetId="7">#REF!,#REF!</definedName>
    <definedName name="DresdnerAÜ">#REF!,#REF!</definedName>
    <definedName name="Druck_Überweisung">[1]!Druck_Überweisung</definedName>
    <definedName name="Druckübersicht" localSheetId="25">'Pool Data VI'!Druckübersicht</definedName>
    <definedName name="Druckübersicht">'Pool Data VI'!Druckübersicht</definedName>
    <definedName name="DT_BK_BS_Ü" localSheetId="13">#REF!</definedName>
    <definedName name="DT_BK_BS_Ü" localSheetId="25">#REF!</definedName>
    <definedName name="DT_BK_BS_Ü" localSheetId="16">#REF!</definedName>
    <definedName name="DT_BK_BS_Ü" localSheetId="6">#REF!</definedName>
    <definedName name="DT_BK_BS_Ü" localSheetId="7">#REF!</definedName>
    <definedName name="DT_BK_BS_Ü">#REF!</definedName>
    <definedName name="Einpacken_AGL">[1]!Einpacken_AGL</definedName>
    <definedName name="Einpacken_AGL_EURO">[1]!Einpacken_AGL_EURO</definedName>
    <definedName name="Einpacken_Deutsche_Bank">[1]!Einpacken_Deutsche_Bank</definedName>
    <definedName name="Einpacken_HB">[1]!Einpacken_HB</definedName>
    <definedName name="Einpacken_Investoren">[1]!Einpacken_Investoren</definedName>
    <definedName name="EinValuta" localSheetId="13">#REF!</definedName>
    <definedName name="EinValuta" localSheetId="25">#REF!</definedName>
    <definedName name="EinValuta" localSheetId="16">#REF!</definedName>
    <definedName name="EinValuta" localSheetId="6">#REF!</definedName>
    <definedName name="EinValuta" localSheetId="7">#REF!</definedName>
    <definedName name="EinValuta">#REF!</definedName>
    <definedName name="Feriados">[3]Feriados!$A$6:$A$941</definedName>
    <definedName name="FrankfurterAn" localSheetId="13">#REF!,#REF!,#REF!</definedName>
    <definedName name="FrankfurterAn" localSheetId="25">#REF!,#REF!,#REF!</definedName>
    <definedName name="FrankfurterAn" localSheetId="16">#REF!,#REF!,#REF!</definedName>
    <definedName name="FrankfurterAn" localSheetId="6">#REF!,#REF!,#REF!</definedName>
    <definedName name="FrankfurterAn" localSheetId="7">#REF!,#REF!,#REF!</definedName>
    <definedName name="FrankfurterAn">#REF!,#REF!,#REF!</definedName>
    <definedName name="Geamtsumme" localSheetId="13">#REF!</definedName>
    <definedName name="Geamtsumme" localSheetId="25">#REF!</definedName>
    <definedName name="Geamtsumme" localSheetId="16">#REF!</definedName>
    <definedName name="Geamtsumme" localSheetId="6">#REF!</definedName>
    <definedName name="Geamtsumme" localSheetId="7">#REF!</definedName>
    <definedName name="Geamtsumme">#REF!</definedName>
    <definedName name="Gesmat3" localSheetId="13">'[4]Proberechnung Investoren'!#REF!</definedName>
    <definedName name="Gesmat3" localSheetId="25">'[4]Proberechnung Investoren'!#REF!</definedName>
    <definedName name="Gesmat3" localSheetId="16">'[4]Proberechnung Investoren'!#REF!</definedName>
    <definedName name="Gesmat3" localSheetId="6">'[4]Proberechnung Investoren'!#REF!</definedName>
    <definedName name="Gesmat3" localSheetId="7">'[4]Proberechnung Investoren'!#REF!</definedName>
    <definedName name="Gesmat3">'[4]Proberechnung Investoren'!#REF!</definedName>
    <definedName name="HB_löschen">[1]!HB_löschen</definedName>
    <definedName name="HHLBAn" localSheetId="13">#REF!,#REF!,#REF!</definedName>
    <definedName name="HHLBAn" localSheetId="25">#REF!,#REF!,#REF!</definedName>
    <definedName name="HHLBAn" localSheetId="16">#REF!,#REF!,#REF!</definedName>
    <definedName name="HHLBAn" localSheetId="6">#REF!,#REF!,#REF!</definedName>
    <definedName name="HHLBAn" localSheetId="7">#REF!,#REF!,#REF!</definedName>
    <definedName name="HHLBAn">#REF!,#REF!,#REF!</definedName>
    <definedName name="HHSparAn" localSheetId="13">#REF!,#REF!,#REF!</definedName>
    <definedName name="HHSparAn" localSheetId="25">#REF!,#REF!,#REF!</definedName>
    <definedName name="HHSparAn" localSheetId="16">#REF!,#REF!,#REF!</definedName>
    <definedName name="HHSparAn" localSheetId="6">#REF!,#REF!,#REF!</definedName>
    <definedName name="HHSparAn" localSheetId="7">#REF!,#REF!,#REF!</definedName>
    <definedName name="HHSparAn">#REF!,#REF!,#REF!</definedName>
    <definedName name="Info" localSheetId="25">'Pool Data VI'!Info</definedName>
    <definedName name="Info">'Pool Data VI'!Info</definedName>
    <definedName name="initial_nominal_value" localSheetId="13">#REF!</definedName>
    <definedName name="initial_nominal_value" localSheetId="25">#REF!</definedName>
    <definedName name="initial_nominal_value" localSheetId="16">#REF!</definedName>
    <definedName name="initial_nominal_value" localSheetId="6">#REF!</definedName>
    <definedName name="initial_nominal_value" localSheetId="7">#REF!</definedName>
    <definedName name="initial_nominal_value">#REF!</definedName>
    <definedName name="initial_reserve_fund" localSheetId="13">#REF!</definedName>
    <definedName name="initial_reserve_fund" localSheetId="25">#REF!</definedName>
    <definedName name="initial_reserve_fund" localSheetId="16">#REF!</definedName>
    <definedName name="initial_reserve_fund" localSheetId="6">#REF!</definedName>
    <definedName name="initial_reserve_fund" localSheetId="7">#REF!</definedName>
    <definedName name="initial_reserve_fund">#REF!</definedName>
    <definedName name="Investoren_löschen">[1]!Investoren_löschen</definedName>
    <definedName name="Invoices">Validation!$B$2:$B$18</definedName>
    <definedName name="Kontoauszug" localSheetId="25">'Pool Data VI'!Kontoauszug</definedName>
    <definedName name="Kontoauszug">'Pool Data VI'!Kontoauszug</definedName>
    <definedName name="Kontokorrentumbuchung21" localSheetId="25">'Pool Data VI'!Kontokorrentumbuchung21</definedName>
    <definedName name="Kontokorrentumbuchung21">'Pool Data VI'!Kontokorrentumbuchung21</definedName>
    <definedName name="Kontokorrentumbuchung39" localSheetId="25">'Pool Data VI'!Kontokorrentumbuchung39</definedName>
    <definedName name="Kontokorrentumbuchung39">'Pool Data VI'!Kontokorrentumbuchung39</definedName>
    <definedName name="Kontrolle">[1]!Kontrolle</definedName>
    <definedName name="Kontrolle_Abgestimmt" localSheetId="13">#REF!,#REF!</definedName>
    <definedName name="Kontrolle_Abgestimmt" localSheetId="25">#REF!,#REF!</definedName>
    <definedName name="Kontrolle_Abgestimmt" localSheetId="16">#REF!,#REF!</definedName>
    <definedName name="Kontrolle_Abgestimmt" localSheetId="6">#REF!,#REF!</definedName>
    <definedName name="Kontrolle_Abgestimmt" localSheetId="7">#REF!,#REF!</definedName>
    <definedName name="Kontrolle_Abgestimmt">#REF!,#REF!</definedName>
    <definedName name="KU_Druck_löschen">[1]!KU_Druck_löschen</definedName>
    <definedName name="LBHTAn" localSheetId="13">#REF!,#REF!,#REF!</definedName>
    <definedName name="LBHTAn" localSheetId="25">#REF!,#REF!,#REF!</definedName>
    <definedName name="LBHTAn" localSheetId="16">#REF!,#REF!,#REF!</definedName>
    <definedName name="LBHTAn" localSheetId="6">#REF!,#REF!,#REF!</definedName>
    <definedName name="LBHTAn" localSheetId="7">#REF!,#REF!,#REF!</definedName>
    <definedName name="LBHTAn">#REF!,#REF!,#REF!</definedName>
    <definedName name="LBSWAn" localSheetId="13">#REF!,#REF!,#REF!</definedName>
    <definedName name="LBSWAn" localSheetId="25">#REF!,#REF!,#REF!</definedName>
    <definedName name="LBSWAn" localSheetId="16">#REF!,#REF!,#REF!</definedName>
    <definedName name="LBSWAn" localSheetId="6">#REF!,#REF!,#REF!</definedName>
    <definedName name="LBSWAn" localSheetId="7">#REF!,#REF!,#REF!</definedName>
    <definedName name="LBSWAn">#REF!,#REF!,#REF!</definedName>
    <definedName name="LEB_Meldungen" localSheetId="25">'Pool Data VI'!LEB_Meldungen</definedName>
    <definedName name="LEB_Meldungen">'Pool Data VI'!LEB_Meldungen</definedName>
    <definedName name="libor_rate" localSheetId="13">#REF!</definedName>
    <definedName name="libor_rate" localSheetId="25">#REF!</definedName>
    <definedName name="libor_rate" localSheetId="16">#REF!</definedName>
    <definedName name="libor_rate" localSheetId="6">#REF!</definedName>
    <definedName name="libor_rate" localSheetId="7">#REF!</definedName>
    <definedName name="libor_rate">#REF!</definedName>
    <definedName name="Monat" localSheetId="13">#REF!</definedName>
    <definedName name="Monat" localSheetId="25">#REF!</definedName>
    <definedName name="Monat" localSheetId="16">#REF!</definedName>
    <definedName name="Monat" localSheetId="6">#REF!</definedName>
    <definedName name="Monat" localSheetId="7">#REF!</definedName>
    <definedName name="Monat">#REF!</definedName>
    <definedName name="MSR_Deutsche_löschen">[1]!MSR_Deutsche_löschen</definedName>
    <definedName name="MSR_Report">[1]!MSR_Report</definedName>
    <definedName name="MSR_Report_Druck">[1]!MSR_Report_Druck</definedName>
    <definedName name="MSR_Report_Druck_löschen">[1]!MSR_Report_Druck_löschen</definedName>
    <definedName name="MSR_Report_Euro">[5]!MSR_Report_Euro</definedName>
    <definedName name="n" localSheetId="25">'Pool Data VI'!n</definedName>
    <definedName name="n">'Pool Data VI'!n</definedName>
    <definedName name="nn" localSheetId="25">'Pool Data VI'!nn</definedName>
    <definedName name="nn">'Pool Data VI'!nn</definedName>
    <definedName name="NOLAAn" localSheetId="13">#REF!,#REF!,#REF!</definedName>
    <definedName name="NOLAAn" localSheetId="25">#REF!,#REF!,#REF!</definedName>
    <definedName name="NOLAAn" localSheetId="16">#REF!,#REF!,#REF!</definedName>
    <definedName name="NOLAAn" localSheetId="6">#REF!,#REF!,#REF!</definedName>
    <definedName name="NOLAAn" localSheetId="7">#REF!,#REF!,#REF!</definedName>
    <definedName name="NOLAAn">#REF!,#REF!,#REF!</definedName>
    <definedName name="NZ_LR" localSheetId="13">#REF!</definedName>
    <definedName name="NZ_LR" localSheetId="25">#REF!</definedName>
    <definedName name="NZ_LR" localSheetId="16">#REF!</definedName>
    <definedName name="NZ_LR" localSheetId="6">#REF!</definedName>
    <definedName name="NZ_LR" localSheetId="7">#REF!</definedName>
    <definedName name="NZ_LR">#REF!</definedName>
    <definedName name="OP_LR" localSheetId="13">#REF!</definedName>
    <definedName name="OP_LR" localSheetId="25">#REF!</definedName>
    <definedName name="OP_LR" localSheetId="16">#REF!</definedName>
    <definedName name="OP_LR" localSheetId="6">#REF!</definedName>
    <definedName name="OP_LR" localSheetId="7">#REF!</definedName>
    <definedName name="OP_LR">#REF!</definedName>
    <definedName name="Overview" localSheetId="25">'Pool Data VI'!Overview</definedName>
    <definedName name="Overview">'Pool Data VI'!Overview</definedName>
    <definedName name="PaymentDate">'[2]Asset Development'!$E$2</definedName>
    <definedName name="Poolfaktor3" localSheetId="13">'[4]Proberechnung Investoren'!#REF!</definedName>
    <definedName name="Poolfaktor3" localSheetId="25">'[4]Proberechnung Investoren'!#REF!</definedName>
    <definedName name="Poolfaktor3" localSheetId="16">'[4]Proberechnung Investoren'!#REF!</definedName>
    <definedName name="Poolfaktor3" localSheetId="6">'[4]Proberechnung Investoren'!#REF!</definedName>
    <definedName name="Poolfaktor3" localSheetId="7">'[4]Proberechnung Investoren'!#REF!</definedName>
    <definedName name="Poolfaktor3">'[4]Proberechnung Investoren'!#REF!</definedName>
    <definedName name="prepayment_NR" localSheetId="13">#REF!</definedName>
    <definedName name="prepayment_NR" localSheetId="25">#REF!</definedName>
    <definedName name="prepayment_NR" localSheetId="16">#REF!</definedName>
    <definedName name="prepayment_NR" localSheetId="6">#REF!</definedName>
    <definedName name="prepayment_NR" localSheetId="7">#REF!</definedName>
    <definedName name="prepayment_NR">#REF!</definedName>
    <definedName name="_xlnm.Print_Area" localSheetId="13">'Amortisation Profile I'!$A$1:$AL$58</definedName>
    <definedName name="_xlnm.Print_Area" localSheetId="14">'Amortisation Profile II'!$A$1:$A$34</definedName>
    <definedName name="_xlnm.Print_Area" localSheetId="2">Cover!$A$1:$D$19</definedName>
    <definedName name="_xlnm.Print_Area" localSheetId="11">'Credit Enhancement'!$A$1:$D$34</definedName>
    <definedName name="_xlnm.Print_Area" localSheetId="26">Glossary!$A$1:$H$30</definedName>
    <definedName name="_xlnm.Print_Area" localSheetId="3">Index!$A$1:$C$33</definedName>
    <definedName name="_xlnm.Print_Area" localSheetId="0">Input!$A$1:$J$42</definedName>
    <definedName name="_xlnm.Print_Area" localSheetId="9">'Notes I'!$A$1:$D$25</definedName>
    <definedName name="_xlnm.Print_Area" localSheetId="10">'Notes II'!$A$1:$K$36</definedName>
    <definedName name="_xlnm.Print_Area" localSheetId="5">'Parties Overview'!$A$1:$E$58</definedName>
    <definedName name="_xlnm.Print_Area" localSheetId="20">'Pool Data I'!$C$1:$Q$42</definedName>
    <definedName name="_xlnm.Print_Area" localSheetId="21">'Pool Data II'!$D$1:$R$49</definedName>
    <definedName name="_xlnm.Print_Area" localSheetId="24">'Pool Data V'!$A$1:$N$61</definedName>
    <definedName name="_xlnm.Print_Area" localSheetId="25">'Pool Data VI'!$A$1:$N$13</definedName>
    <definedName name="_xlnm.Print_Area" localSheetId="19">Recoveries!$A$1:$E$12</definedName>
    <definedName name="_xlnm.Print_Area" localSheetId="4">'Reporting Details'!$1:$20</definedName>
    <definedName name="_xlnm.Print_Area" localSheetId="15">'Run Out Schedule'!$A$1:$D$59</definedName>
    <definedName name="_xlnm.Print_Area" localSheetId="16">'Run Out Schedule II'!$A$1:$A$43</definedName>
    <definedName name="_xlnm.Print_Area" localSheetId="12">'Swaps &amp; Waterfall'!$A$1:$C$25</definedName>
    <definedName name="_xlnm.Print_Area" localSheetId="6">'Transaction Events I'!$A$1:$G$16</definedName>
    <definedName name="_xlnm.Print_Area" localSheetId="7">'Transaction Events II'!$A$1:$W$41</definedName>
    <definedName name="_xlnm.Print_Area" localSheetId="8">'Transaction Events III'!$A$1:$N$25</definedName>
    <definedName name="remaining_term" localSheetId="13">#REF!</definedName>
    <definedName name="remaining_term" localSheetId="25">#REF!</definedName>
    <definedName name="remaining_term" localSheetId="16">#REF!</definedName>
    <definedName name="remaining_term" localSheetId="6">#REF!</definedName>
    <definedName name="remaining_term" localSheetId="7">#REF!</definedName>
    <definedName name="remaining_term">#REF!</definedName>
    <definedName name="ReportingPeriod">'[2]Asset Development'!$E$1</definedName>
    <definedName name="ReportingPeriodNumber">'[2]Asset Development'!$E$3</definedName>
    <definedName name="reserve_fund_minimum_amount" localSheetId="13">#REF!</definedName>
    <definedName name="reserve_fund_minimum_amount" localSheetId="25">#REF!</definedName>
    <definedName name="reserve_fund_minimum_amount" localSheetId="16">#REF!</definedName>
    <definedName name="reserve_fund_minimum_amount" localSheetId="6">#REF!</definedName>
    <definedName name="reserve_fund_minimum_amount" localSheetId="7">#REF!</definedName>
    <definedName name="reserve_fund_minimum_amount">#REF!</definedName>
    <definedName name="Rückführungsbarwert">'[6]Monthly Abwicklung'!$F$30</definedName>
    <definedName name="SakuraAn" localSheetId="13">#REF!,#REF!,#REF!</definedName>
    <definedName name="SakuraAn" localSheetId="25">#REF!,#REF!,#REF!</definedName>
    <definedName name="SakuraAn" localSheetId="16">#REF!,#REF!,#REF!</definedName>
    <definedName name="SakuraAn" localSheetId="6">#REF!,#REF!,#REF!</definedName>
    <definedName name="SakuraAn" localSheetId="7">#REF!,#REF!,#REF!</definedName>
    <definedName name="SakuraAn">#REF!,#REF!,#REF!</definedName>
    <definedName name="SAPBEXrevision" hidden="1">17</definedName>
    <definedName name="SAPBEXsysID" hidden="1">"FBP"</definedName>
    <definedName name="SAPBEXwbID" hidden="1">"3VLVO8DNFBSDDI223U2WGB0F2"</definedName>
    <definedName name="start_date" localSheetId="13">#REF!</definedName>
    <definedName name="start_date" localSheetId="25">#REF!</definedName>
    <definedName name="start_date" localSheetId="16">#REF!</definedName>
    <definedName name="start_date" localSheetId="6">#REF!</definedName>
    <definedName name="start_date" localSheetId="7">#REF!</definedName>
    <definedName name="start_date">#REF!</definedName>
    <definedName name="target_reserve_fund_percentage" localSheetId="13">#REF!</definedName>
    <definedName name="target_reserve_fund_percentage" localSheetId="25">#REF!</definedName>
    <definedName name="target_reserve_fund_percentage" localSheetId="16">#REF!</definedName>
    <definedName name="target_reserve_fund_percentage" localSheetId="6">#REF!</definedName>
    <definedName name="target_reserve_fund_percentage" localSheetId="7">#REF!</definedName>
    <definedName name="target_reserve_fund_percentage">#REF!</definedName>
    <definedName name="test" localSheetId="25">'Pool Data VI'!test</definedName>
    <definedName name="test">'Pool Data VI'!test</definedName>
    <definedName name="test2" localSheetId="25">'Pool Data VI'!test2</definedName>
    <definedName name="test2">'Pool Data VI'!test2</definedName>
    <definedName name="Tilgung">'[6]Monthly Abwicklung'!$D$42</definedName>
    <definedName name="Transfer" localSheetId="25">'Pool Data VI'!Transfer</definedName>
    <definedName name="Transfer">'Pool Data VI'!Transfer</definedName>
    <definedName name="Überweisung_Work">[1]!Überweisung_Work</definedName>
    <definedName name="Überweisungs_Druck_löschen">[1]!Überweisungs_Druck_löschen</definedName>
    <definedName name="UBSAn" localSheetId="13">#REF!,#REF!,#REF!</definedName>
    <definedName name="UBSAn" localSheetId="25">#REF!,#REF!,#REF!</definedName>
    <definedName name="UBSAn" localSheetId="16">#REF!,#REF!,#REF!</definedName>
    <definedName name="UBSAn" localSheetId="6">#REF!,#REF!,#REF!</definedName>
    <definedName name="UBSAn" localSheetId="7">#REF!,#REF!,#REF!</definedName>
    <definedName name="UBSAn">#REF!,#REF!,#REF!</definedName>
    <definedName name="UnterAnR" localSheetId="13">#REF!</definedName>
    <definedName name="UnterAnR" localSheetId="25">#REF!</definedName>
    <definedName name="UnterAnR" localSheetId="16">#REF!</definedName>
    <definedName name="UnterAnR" localSheetId="6">#REF!</definedName>
    <definedName name="UnterAnR" localSheetId="7">#REF!</definedName>
    <definedName name="UnterAnR">#REF!</definedName>
    <definedName name="UntersAnL" localSheetId="13">#REF!</definedName>
    <definedName name="UntersAnL" localSheetId="25">#REF!</definedName>
    <definedName name="UntersAnL" localSheetId="16">#REF!</definedName>
    <definedName name="UntersAnL" localSheetId="6">#REF!</definedName>
    <definedName name="UntersAnL" localSheetId="7">#REF!</definedName>
    <definedName name="UntersAnL">#REF!</definedName>
    <definedName name="UntersAnR" localSheetId="13">#REF!</definedName>
    <definedName name="UntersAnR" localSheetId="25">#REF!</definedName>
    <definedName name="UntersAnR" localSheetId="16">#REF!</definedName>
    <definedName name="UntersAnR" localSheetId="6">#REF!</definedName>
    <definedName name="UntersAnR" localSheetId="7">#REF!</definedName>
    <definedName name="UntersAnR">#REF!</definedName>
    <definedName name="Unterschriften" localSheetId="25">'Pool Data VI'!Unterschriften</definedName>
    <definedName name="Unterschriften">'Pool Data VI'!Unterschriften</definedName>
    <definedName name="UntersÜbL" localSheetId="13">#REF!</definedName>
    <definedName name="UntersÜbL" localSheetId="25">#REF!</definedName>
    <definedName name="UntersÜbL" localSheetId="16">#REF!</definedName>
    <definedName name="UntersÜbL" localSheetId="6">#REF!</definedName>
    <definedName name="UntersÜbL" localSheetId="7">#REF!</definedName>
    <definedName name="UntersÜbL">#REF!</definedName>
    <definedName name="UntersÜbR" localSheetId="13">#REF!</definedName>
    <definedName name="UntersÜbR" localSheetId="25">#REF!</definedName>
    <definedName name="UntersÜbR" localSheetId="16">#REF!</definedName>
    <definedName name="UntersÜbR" localSheetId="6">#REF!</definedName>
    <definedName name="UntersÜbR" localSheetId="7">#REF!</definedName>
    <definedName name="UntersÜbR">#REF!</definedName>
    <definedName name="Valuta" localSheetId="13">#REF!</definedName>
    <definedName name="Valuta" localSheetId="25">#REF!</definedName>
    <definedName name="Valuta" localSheetId="16">#REF!</definedName>
    <definedName name="Valuta" localSheetId="6">#REF!</definedName>
    <definedName name="Valuta" localSheetId="7">#REF!</definedName>
    <definedName name="Valuta">#REF!</definedName>
    <definedName name="ValutaDt." localSheetId="13">#REF!</definedName>
    <definedName name="ValutaDt." localSheetId="25">#REF!</definedName>
    <definedName name="ValutaDt." localSheetId="16">#REF!</definedName>
    <definedName name="ValutaDt." localSheetId="6">#REF!</definedName>
    <definedName name="ValutaDt." localSheetId="7">#REF!</definedName>
    <definedName name="ValutaDt.">#REF!</definedName>
    <definedName name="ValutaDt.1" localSheetId="13">#REF!</definedName>
    <definedName name="ValutaDt.1" localSheetId="25">#REF!</definedName>
    <definedName name="ValutaDt.1" localSheetId="16">#REF!</definedName>
    <definedName name="ValutaDt.1" localSheetId="6">#REF!</definedName>
    <definedName name="ValutaDt.1" localSheetId="7">#REF!</definedName>
    <definedName name="ValutaDt.1">#REF!</definedName>
    <definedName name="ValutaDt.1a" localSheetId="13">#REF!</definedName>
    <definedName name="ValutaDt.1a" localSheetId="25">#REF!</definedName>
    <definedName name="ValutaDt.1a" localSheetId="16">#REF!</definedName>
    <definedName name="ValutaDt.1a" localSheetId="6">#REF!</definedName>
    <definedName name="ValutaDt.1a" localSheetId="7">#REF!</definedName>
    <definedName name="ValutaDt.1a">#REF!</definedName>
    <definedName name="ValutaDt.a" localSheetId="13">#REF!</definedName>
    <definedName name="ValutaDt.a" localSheetId="25">#REF!</definedName>
    <definedName name="ValutaDt.a" localSheetId="16">#REF!</definedName>
    <definedName name="ValutaDt.a" localSheetId="6">#REF!</definedName>
    <definedName name="ValutaDt.a" localSheetId="7">#REF!</definedName>
    <definedName name="ValutaDt.a">#REF!</definedName>
    <definedName name="Vergleich" localSheetId="25">'Pool Data VI'!Vergleich</definedName>
    <definedName name="Vergleich">'Pool Data VI'!Vergleich</definedName>
    <definedName name="Vergleich1" localSheetId="25">'Pool Data VI'!Vergleich1</definedName>
    <definedName name="Vergleich1">'Pool Data VI'!Vergleich1</definedName>
    <definedName name="WaterfallII" localSheetId="25">'Pool Data VI'!WaterfallII</definedName>
    <definedName name="WaterfallII">'Pool Data VI'!WaterfallII</definedName>
    <definedName name="WestLBAn" localSheetId="13">#REF!,#REF!,#REF!</definedName>
    <definedName name="WestLBAn" localSheetId="25">#REF!,#REF!,#REF!</definedName>
    <definedName name="WestLBAn" localSheetId="16">#REF!,#REF!,#REF!</definedName>
    <definedName name="WestLBAn" localSheetId="6">#REF!,#REF!,#REF!</definedName>
    <definedName name="WestLBAn" localSheetId="7">#REF!,#REF!,#REF!</definedName>
    <definedName name="WestLBAn">#REF!,#REF!,#REF!</definedName>
    <definedName name="x" localSheetId="25">'Pool Data VI'!x</definedName>
    <definedName name="x">'Pool Data VI'!x</definedName>
    <definedName name="Yes_No">Validation!$A$2:$A$3</definedName>
    <definedName name="Zinsen">'[6]Monthly Abwicklung'!$C$42</definedName>
  </definedNames>
  <calcPr calcId="162913"/>
</workbook>
</file>

<file path=xl/calcChain.xml><?xml version="1.0" encoding="utf-8"?>
<calcChain xmlns="http://schemas.openxmlformats.org/spreadsheetml/2006/main">
  <c r="L14" i="52" l="1"/>
  <c r="D11" i="11" l="1"/>
  <c r="B10" i="6" l="1"/>
  <c r="I49" i="43" l="1"/>
  <c r="D41" i="38" l="1"/>
  <c r="H42" i="38" l="1"/>
  <c r="C41" i="38"/>
  <c r="C17" i="38" s="1"/>
  <c r="D40" i="38" l="1"/>
  <c r="N42" i="38" l="1"/>
  <c r="M42" i="38"/>
  <c r="L42" i="38"/>
  <c r="C19" i="48"/>
  <c r="C18" i="48"/>
  <c r="C17" i="48"/>
  <c r="C16" i="48"/>
  <c r="C15" i="48"/>
  <c r="C14" i="48"/>
  <c r="C13" i="48"/>
  <c r="C12" i="48"/>
  <c r="J19" i="52" l="1"/>
  <c r="K42" i="38"/>
  <c r="F19" i="52" s="1"/>
  <c r="C10" i="48"/>
  <c r="F18" i="48"/>
  <c r="F17" i="48"/>
  <c r="F16" i="48"/>
  <c r="F14" i="48"/>
  <c r="F13" i="48"/>
  <c r="F12" i="48"/>
  <c r="F19" i="48"/>
  <c r="F15" i="48"/>
  <c r="C11" i="48" l="1"/>
  <c r="F11" i="48"/>
  <c r="F10" i="48"/>
  <c r="E19" i="48"/>
  <c r="E18" i="48"/>
  <c r="E17" i="48"/>
  <c r="E16" i="48"/>
  <c r="E15" i="48"/>
  <c r="E14" i="48"/>
  <c r="E13" i="48"/>
  <c r="E12" i="48"/>
  <c r="E11" i="48"/>
  <c r="E10" i="48"/>
  <c r="R20" i="48"/>
  <c r="N20" i="48"/>
  <c r="J20" i="48"/>
  <c r="S20" i="48"/>
  <c r="Q20" i="48"/>
  <c r="P20" i="48"/>
  <c r="O20" i="48"/>
  <c r="M20" i="48"/>
  <c r="L20" i="48"/>
  <c r="K20" i="48"/>
  <c r="I20" i="48"/>
  <c r="H20" i="48"/>
  <c r="F20" i="48" l="1"/>
  <c r="G10" i="48" s="1"/>
  <c r="E20" i="48"/>
  <c r="G20" i="48" s="1"/>
  <c r="C20" i="48"/>
  <c r="D20" i="48" l="1"/>
  <c r="D10" i="48"/>
  <c r="I3" i="51" s="1"/>
  <c r="D15" i="48"/>
  <c r="I8" i="51" s="1"/>
  <c r="D16" i="48"/>
  <c r="I9" i="51" s="1"/>
  <c r="D14" i="48"/>
  <c r="I7" i="51" s="1"/>
  <c r="D19" i="48"/>
  <c r="I12" i="51" s="1"/>
  <c r="D11" i="48"/>
  <c r="I4" i="51" s="1"/>
  <c r="D12" i="48"/>
  <c r="I5" i="51" s="1"/>
  <c r="D13" i="48"/>
  <c r="I6" i="51" s="1"/>
  <c r="D17" i="48"/>
  <c r="I10" i="51" s="1"/>
  <c r="D18" i="48"/>
  <c r="I11" i="51" s="1"/>
  <c r="G11" i="48" l="1"/>
  <c r="G14" i="48"/>
  <c r="G12" i="48"/>
  <c r="G15" i="48"/>
  <c r="G17" i="48"/>
  <c r="G19" i="48"/>
  <c r="G16" i="48"/>
  <c r="G18" i="48"/>
  <c r="G13" i="48"/>
  <c r="B2" i="12" l="1"/>
  <c r="B1" i="12"/>
  <c r="B59" i="21" l="1"/>
  <c r="C59" i="21"/>
  <c r="D59" i="21"/>
  <c r="C2" i="10"/>
  <c r="C1" i="10"/>
  <c r="B16" i="51"/>
  <c r="B1" i="51"/>
  <c r="B2" i="51" s="1"/>
  <c r="D55" i="31"/>
  <c r="E26" i="43" l="1"/>
  <c r="C26" i="43"/>
  <c r="C21" i="10" l="1"/>
  <c r="D40" i="41" l="1"/>
  <c r="D29" i="41"/>
  <c r="D28" i="41"/>
  <c r="B29" i="41"/>
  <c r="B10" i="41" l="1"/>
  <c r="D10" i="41"/>
  <c r="B40" i="41"/>
  <c r="B28" i="41"/>
  <c r="E20" i="40"/>
  <c r="G20" i="40" l="1"/>
  <c r="D20" i="39"/>
  <c r="E42" i="38" l="1"/>
  <c r="G42" i="38"/>
  <c r="F42" i="38"/>
  <c r="I19" i="52" s="1"/>
  <c r="H47" i="43"/>
  <c r="H10" i="44" s="1"/>
  <c r="I47" i="43"/>
  <c r="I10" i="44" s="1"/>
  <c r="J47" i="43"/>
  <c r="J10" i="44" s="1"/>
  <c r="G47" i="43"/>
  <c r="G10" i="44" s="1"/>
  <c r="L47" i="43"/>
  <c r="L10" i="44" s="1"/>
  <c r="M47" i="43"/>
  <c r="M10" i="44" s="1"/>
  <c r="N47" i="43"/>
  <c r="N10" i="44" s="1"/>
  <c r="K47" i="43"/>
  <c r="K10" i="44" s="1"/>
  <c r="C46" i="43"/>
  <c r="E19" i="52" l="1"/>
  <c r="E46" i="43"/>
  <c r="C47" i="43"/>
  <c r="C10" i="44" s="1"/>
  <c r="E47" i="43"/>
  <c r="E10" i="44" s="1"/>
  <c r="C15" i="51" l="1"/>
  <c r="C16" i="51" s="1"/>
  <c r="BK13" i="51"/>
  <c r="BJ13" i="51"/>
  <c r="BI13" i="51"/>
  <c r="BH13" i="51"/>
  <c r="BG13" i="51"/>
  <c r="BF13" i="51"/>
  <c r="BE13" i="51"/>
  <c r="BD13" i="51"/>
  <c r="BC13" i="51"/>
  <c r="BB13" i="51"/>
  <c r="BA13" i="51"/>
  <c r="AZ13" i="51"/>
  <c r="AY13" i="51"/>
  <c r="AX13" i="51"/>
  <c r="AW13" i="51"/>
  <c r="AV13" i="51"/>
  <c r="AU13" i="51"/>
  <c r="AT13" i="51"/>
  <c r="AS13" i="51"/>
  <c r="AR13" i="51"/>
  <c r="AQ13" i="51"/>
  <c r="AP13" i="51"/>
  <c r="AO13" i="51"/>
  <c r="AN13" i="51"/>
  <c r="AM13" i="51"/>
  <c r="AL13" i="51"/>
  <c r="AK13" i="51"/>
  <c r="AJ13" i="51"/>
  <c r="AG13" i="51"/>
  <c r="AF13" i="51"/>
  <c r="AE13" i="51"/>
  <c r="AD13" i="51"/>
  <c r="AC13" i="51"/>
  <c r="AB13" i="51"/>
  <c r="AA13" i="51"/>
  <c r="Z13" i="51"/>
  <c r="Y13" i="51"/>
  <c r="X13" i="51"/>
  <c r="W13" i="51"/>
  <c r="V13" i="51"/>
  <c r="U13" i="51"/>
  <c r="T13" i="51"/>
  <c r="S13" i="51"/>
  <c r="R13" i="51"/>
  <c r="Q13" i="51"/>
  <c r="K13" i="51"/>
  <c r="J13" i="51"/>
  <c r="I13" i="51"/>
  <c r="H13" i="51"/>
  <c r="G13" i="51"/>
  <c r="F13" i="51"/>
  <c r="E13" i="51"/>
  <c r="D13" i="51"/>
  <c r="C13" i="51"/>
  <c r="B13" i="51"/>
  <c r="N49" i="43"/>
  <c r="N13" i="44" s="1"/>
  <c r="M49" i="43"/>
  <c r="M13" i="44" s="1"/>
  <c r="L49" i="43"/>
  <c r="L13" i="44" s="1"/>
  <c r="K49" i="43"/>
  <c r="K13" i="44" s="1"/>
  <c r="J49" i="43"/>
  <c r="G49" i="43"/>
  <c r="N34" i="43"/>
  <c r="M34" i="43"/>
  <c r="L34" i="43"/>
  <c r="K34" i="43"/>
  <c r="J34" i="43"/>
  <c r="I34" i="43"/>
  <c r="G34" i="43"/>
  <c r="N2" i="43"/>
  <c r="N1" i="43"/>
  <c r="C44" i="44"/>
  <c r="C43" i="44"/>
  <c r="E43" i="44"/>
  <c r="E42" i="44"/>
  <c r="C42" i="44"/>
  <c r="E41" i="44"/>
  <c r="C40" i="44"/>
  <c r="C39" i="44"/>
  <c r="E39" i="44"/>
  <c r="E38" i="44"/>
  <c r="C38" i="44"/>
  <c r="E37" i="44"/>
  <c r="C36" i="44"/>
  <c r="C35" i="44"/>
  <c r="E35" i="44"/>
  <c r="E34" i="44"/>
  <c r="C34" i="44"/>
  <c r="E33" i="44"/>
  <c r="C32" i="44"/>
  <c r="C31" i="44"/>
  <c r="E31" i="44"/>
  <c r="E30" i="44"/>
  <c r="C30" i="44"/>
  <c r="E29" i="44"/>
  <c r="C28" i="44"/>
  <c r="C27" i="44"/>
  <c r="E27" i="44"/>
  <c r="E26" i="44"/>
  <c r="C26" i="44"/>
  <c r="E25" i="44"/>
  <c r="C24" i="44"/>
  <c r="C23" i="44"/>
  <c r="E23" i="44"/>
  <c r="E22" i="44"/>
  <c r="C22" i="44"/>
  <c r="E21" i="44"/>
  <c r="C20" i="44"/>
  <c r="E19" i="44"/>
  <c r="N2" i="44"/>
  <c r="N1" i="44"/>
  <c r="D43" i="41"/>
  <c r="D42" i="41"/>
  <c r="M46" i="41"/>
  <c r="L46" i="41"/>
  <c r="I46" i="41"/>
  <c r="H46" i="41"/>
  <c r="B41" i="41"/>
  <c r="D27" i="41"/>
  <c r="B27" i="41"/>
  <c r="B26" i="41"/>
  <c r="J30" i="41"/>
  <c r="D14" i="41"/>
  <c r="B14" i="41"/>
  <c r="D13" i="41"/>
  <c r="B13" i="41"/>
  <c r="D12" i="41"/>
  <c r="L15" i="41"/>
  <c r="B11" i="41"/>
  <c r="M2" i="41"/>
  <c r="M1" i="41"/>
  <c r="R43" i="40"/>
  <c r="Q43" i="40"/>
  <c r="P43" i="40"/>
  <c r="O43" i="40"/>
  <c r="E42" i="40"/>
  <c r="L43" i="40"/>
  <c r="K43" i="40"/>
  <c r="N21" i="40"/>
  <c r="M21" i="40"/>
  <c r="G19" i="40"/>
  <c r="E19" i="40"/>
  <c r="G18" i="40"/>
  <c r="E18" i="40"/>
  <c r="G17" i="40"/>
  <c r="E17" i="40"/>
  <c r="Q21" i="40"/>
  <c r="P21" i="40"/>
  <c r="O21" i="40"/>
  <c r="G16" i="40"/>
  <c r="E16" i="40"/>
  <c r="E15" i="40"/>
  <c r="G15" i="40"/>
  <c r="E14" i="40"/>
  <c r="G14" i="40"/>
  <c r="G12" i="40"/>
  <c r="G11" i="40"/>
  <c r="G10" i="40"/>
  <c r="R2" i="40"/>
  <c r="R1" i="40"/>
  <c r="M40" i="39"/>
  <c r="L40" i="39"/>
  <c r="Q40" i="39"/>
  <c r="P40" i="39"/>
  <c r="N40" i="39"/>
  <c r="F39" i="39"/>
  <c r="D39" i="39"/>
  <c r="F38" i="39"/>
  <c r="D38" i="39"/>
  <c r="F37" i="39"/>
  <c r="D37" i="39"/>
  <c r="F36" i="39"/>
  <c r="D36" i="39"/>
  <c r="D35" i="39"/>
  <c r="F35" i="39"/>
  <c r="F34" i="39"/>
  <c r="D34" i="39"/>
  <c r="F33" i="39"/>
  <c r="D33" i="39"/>
  <c r="F32" i="39"/>
  <c r="D32" i="39"/>
  <c r="F31" i="39"/>
  <c r="D31" i="39"/>
  <c r="F30" i="39"/>
  <c r="D30" i="39"/>
  <c r="F29" i="39"/>
  <c r="D29" i="39"/>
  <c r="F28" i="39"/>
  <c r="D28" i="39"/>
  <c r="F27" i="39"/>
  <c r="D27" i="39"/>
  <c r="F26" i="39"/>
  <c r="D26" i="39"/>
  <c r="F25" i="39"/>
  <c r="D25" i="39"/>
  <c r="F24" i="39"/>
  <c r="D24" i="39"/>
  <c r="F23" i="39"/>
  <c r="D23" i="39"/>
  <c r="F22" i="39"/>
  <c r="D22" i="39"/>
  <c r="F21" i="39"/>
  <c r="K40" i="39"/>
  <c r="F10" i="39"/>
  <c r="Q15" i="39"/>
  <c r="P15" i="39"/>
  <c r="O15" i="39"/>
  <c r="N15" i="39"/>
  <c r="F13" i="39"/>
  <c r="D13" i="39"/>
  <c r="F12" i="39"/>
  <c r="D12" i="39"/>
  <c r="F11" i="39"/>
  <c r="D11" i="39"/>
  <c r="K15" i="39"/>
  <c r="I15" i="39"/>
  <c r="H15" i="39"/>
  <c r="Q2" i="39"/>
  <c r="Q1" i="39"/>
  <c r="S2" i="48"/>
  <c r="S1" i="48"/>
  <c r="N50" i="43" l="1"/>
  <c r="M50" i="43"/>
  <c r="L50" i="43"/>
  <c r="G50" i="43"/>
  <c r="K50" i="43"/>
  <c r="J13" i="44"/>
  <c r="J50" i="43"/>
  <c r="I13" i="44"/>
  <c r="I50" i="43"/>
  <c r="K46" i="44"/>
  <c r="E20" i="44"/>
  <c r="E24" i="44"/>
  <c r="C25" i="44"/>
  <c r="E28" i="44"/>
  <c r="C29" i="44"/>
  <c r="E32" i="44"/>
  <c r="C33" i="44"/>
  <c r="E36" i="44"/>
  <c r="C37" i="44"/>
  <c r="E40" i="44"/>
  <c r="C41" i="44"/>
  <c r="E45" i="44"/>
  <c r="C21" i="44"/>
  <c r="C44" i="43"/>
  <c r="B43" i="41"/>
  <c r="B44" i="41"/>
  <c r="M30" i="41"/>
  <c r="I30" i="41"/>
  <c r="F30" i="41"/>
  <c r="E31" i="40"/>
  <c r="E32" i="40"/>
  <c r="E33" i="40"/>
  <c r="E34" i="40"/>
  <c r="E35" i="40"/>
  <c r="E36" i="40"/>
  <c r="E37" i="40"/>
  <c r="E38" i="40"/>
  <c r="E39" i="40"/>
  <c r="E40" i="40"/>
  <c r="E41" i="40"/>
  <c r="R21" i="40"/>
  <c r="G13" i="40"/>
  <c r="F15" i="39"/>
  <c r="F14" i="39"/>
  <c r="B12" i="41"/>
  <c r="H15" i="41"/>
  <c r="E10" i="40"/>
  <c r="E11" i="40"/>
  <c r="F20" i="39"/>
  <c r="H40" i="39"/>
  <c r="D10" i="39"/>
  <c r="D14" i="39"/>
  <c r="I40" i="39"/>
  <c r="F40" i="39" s="1"/>
  <c r="D21" i="39"/>
  <c r="B42" i="41"/>
  <c r="C45" i="44"/>
  <c r="O40" i="39"/>
  <c r="G46" i="44"/>
  <c r="C19" i="44"/>
  <c r="J40" i="39"/>
  <c r="L21" i="40"/>
  <c r="G15" i="41"/>
  <c r="D11" i="41"/>
  <c r="K15" i="41"/>
  <c r="B25" i="41"/>
  <c r="J46" i="44"/>
  <c r="N46" i="44"/>
  <c r="C48" i="43"/>
  <c r="I21" i="40"/>
  <c r="E12" i="40"/>
  <c r="G31" i="40"/>
  <c r="G32" i="40"/>
  <c r="G33" i="40"/>
  <c r="G34" i="40"/>
  <c r="G35" i="40"/>
  <c r="G36" i="40"/>
  <c r="G37" i="40"/>
  <c r="G38" i="40"/>
  <c r="G39" i="40"/>
  <c r="G40" i="40"/>
  <c r="G41" i="40"/>
  <c r="I15" i="41"/>
  <c r="M15" i="41"/>
  <c r="G30" i="41"/>
  <c r="K30" i="41"/>
  <c r="F46" i="41"/>
  <c r="B46" i="41" s="1"/>
  <c r="J46" i="41"/>
  <c r="D44" i="41"/>
  <c r="H46" i="44"/>
  <c r="L46" i="44"/>
  <c r="E10" i="43"/>
  <c r="E11" i="43"/>
  <c r="E12" i="43"/>
  <c r="E13" i="43"/>
  <c r="E14" i="43"/>
  <c r="E15" i="43"/>
  <c r="E16" i="43"/>
  <c r="E17" i="43"/>
  <c r="E18" i="43"/>
  <c r="E19" i="43"/>
  <c r="E20" i="43"/>
  <c r="E21" i="43"/>
  <c r="E22" i="43"/>
  <c r="E23" i="43"/>
  <c r="E24" i="43"/>
  <c r="E25" i="43"/>
  <c r="E27" i="43"/>
  <c r="E28" i="43"/>
  <c r="E29" i="43"/>
  <c r="E30" i="43"/>
  <c r="E31" i="43"/>
  <c r="E33" i="43"/>
  <c r="E35" i="43"/>
  <c r="E36" i="43"/>
  <c r="E37" i="43"/>
  <c r="E38" i="43"/>
  <c r="E39" i="43"/>
  <c r="E40" i="43"/>
  <c r="E41" i="43"/>
  <c r="E42" i="43"/>
  <c r="E43" i="43"/>
  <c r="E44" i="43"/>
  <c r="C1" i="51"/>
  <c r="C2" i="51" s="1"/>
  <c r="J21" i="40"/>
  <c r="E13" i="40"/>
  <c r="F15" i="41"/>
  <c r="J15" i="41"/>
  <c r="H30" i="41"/>
  <c r="L30" i="41"/>
  <c r="D26" i="41"/>
  <c r="G46" i="41"/>
  <c r="D46" i="41" s="1"/>
  <c r="E40" i="41" s="1"/>
  <c r="K46" i="41"/>
  <c r="I46" i="44"/>
  <c r="M46" i="44"/>
  <c r="E44" i="44"/>
  <c r="C11" i="43"/>
  <c r="C12" i="43"/>
  <c r="C13" i="43"/>
  <c r="C14" i="43"/>
  <c r="C15" i="43"/>
  <c r="C16" i="43"/>
  <c r="C17" i="43"/>
  <c r="C18" i="43"/>
  <c r="C19" i="43"/>
  <c r="C20" i="43"/>
  <c r="C21" i="43"/>
  <c r="C22" i="43"/>
  <c r="C23" i="43"/>
  <c r="C24" i="43"/>
  <c r="C25" i="43"/>
  <c r="C27" i="43"/>
  <c r="C28" i="43"/>
  <c r="C29" i="43"/>
  <c r="C30" i="43"/>
  <c r="C31" i="43"/>
  <c r="C33" i="43"/>
  <c r="C36" i="43"/>
  <c r="C37" i="43"/>
  <c r="C38" i="43"/>
  <c r="C39" i="43"/>
  <c r="C40" i="43"/>
  <c r="C41" i="43"/>
  <c r="C42" i="43"/>
  <c r="C43" i="43"/>
  <c r="E48" i="43"/>
  <c r="D15" i="51"/>
  <c r="L12" i="44"/>
  <c r="L14" i="44" s="1"/>
  <c r="G13" i="44"/>
  <c r="C49" i="43"/>
  <c r="C13" i="44" s="1"/>
  <c r="M12" i="44"/>
  <c r="M14" i="44" s="1"/>
  <c r="I12" i="44"/>
  <c r="J12" i="44"/>
  <c r="N12" i="44"/>
  <c r="N14" i="44" s="1"/>
  <c r="C34" i="43"/>
  <c r="C12" i="44" s="1"/>
  <c r="G12" i="44"/>
  <c r="K12" i="44"/>
  <c r="K14" i="44" s="1"/>
  <c r="C45" i="43"/>
  <c r="C10" i="43"/>
  <c r="C35" i="43"/>
  <c r="H34" i="43"/>
  <c r="H49" i="43"/>
  <c r="D25" i="41"/>
  <c r="D41" i="41"/>
  <c r="K21" i="40"/>
  <c r="I43" i="40"/>
  <c r="E43" i="40" s="1"/>
  <c r="J15" i="39"/>
  <c r="D15" i="39" s="1"/>
  <c r="I14" i="44" l="1"/>
  <c r="C46" i="44"/>
  <c r="D45" i="44" s="1"/>
  <c r="D40" i="39"/>
  <c r="H50" i="43"/>
  <c r="E50" i="43" s="1"/>
  <c r="F47" i="43" s="1"/>
  <c r="J14" i="44"/>
  <c r="G14" i="44"/>
  <c r="C42" i="41"/>
  <c r="C40" i="41"/>
  <c r="D15" i="41"/>
  <c r="G14" i="39"/>
  <c r="B15" i="41"/>
  <c r="E46" i="44"/>
  <c r="F43" i="44" s="1"/>
  <c r="C44" i="41"/>
  <c r="C41" i="41"/>
  <c r="B30" i="41"/>
  <c r="D30" i="41"/>
  <c r="G11" i="39"/>
  <c r="G13" i="39"/>
  <c r="F42" i="39"/>
  <c r="G40" i="39" s="1"/>
  <c r="G10" i="39"/>
  <c r="G12" i="39"/>
  <c r="C14" i="44"/>
  <c r="D13" i="44" s="1"/>
  <c r="G21" i="40"/>
  <c r="E21" i="40"/>
  <c r="C43" i="41"/>
  <c r="D1" i="51"/>
  <c r="D2" i="51" s="1"/>
  <c r="D16" i="51"/>
  <c r="E15" i="51"/>
  <c r="E49" i="43"/>
  <c r="E13" i="44" s="1"/>
  <c r="H13" i="44"/>
  <c r="E45" i="43"/>
  <c r="E34" i="43"/>
  <c r="E12" i="44" s="1"/>
  <c r="H12" i="44"/>
  <c r="C50" i="43"/>
  <c r="D47" i="43" s="1"/>
  <c r="E44" i="41"/>
  <c r="E43" i="41"/>
  <c r="E42" i="41"/>
  <c r="E41" i="41"/>
  <c r="F39" i="40"/>
  <c r="F35" i="40"/>
  <c r="F31" i="40"/>
  <c r="F40" i="40"/>
  <c r="F32" i="40"/>
  <c r="F42" i="40"/>
  <c r="F38" i="40"/>
  <c r="F34" i="40"/>
  <c r="F36" i="40"/>
  <c r="F41" i="40"/>
  <c r="F37" i="40"/>
  <c r="F33" i="40"/>
  <c r="E11" i="39"/>
  <c r="E10" i="39"/>
  <c r="D42" i="39"/>
  <c r="E14" i="39"/>
  <c r="E13" i="39"/>
  <c r="E12" i="39"/>
  <c r="D42" i="44" l="1"/>
  <c r="D43" i="44"/>
  <c r="D26" i="44"/>
  <c r="D27" i="44"/>
  <c r="D19" i="44"/>
  <c r="D31" i="44"/>
  <c r="D23" i="44"/>
  <c r="D34" i="44"/>
  <c r="F35" i="44"/>
  <c r="G29" i="39"/>
  <c r="G31" i="39"/>
  <c r="D35" i="44"/>
  <c r="D22" i="44"/>
  <c r="D30" i="44"/>
  <c r="D39" i="44"/>
  <c r="G21" i="39"/>
  <c r="G37" i="39"/>
  <c r="G26" i="39"/>
  <c r="F19" i="44"/>
  <c r="F44" i="44"/>
  <c r="F27" i="44"/>
  <c r="F28" i="44"/>
  <c r="D38" i="44"/>
  <c r="D46" i="44"/>
  <c r="F20" i="44"/>
  <c r="F36" i="44"/>
  <c r="F23" i="44"/>
  <c r="F31" i="44"/>
  <c r="F39" i="44"/>
  <c r="F24" i="44"/>
  <c r="F32" i="44"/>
  <c r="F40" i="44"/>
  <c r="G39" i="39"/>
  <c r="G23" i="39"/>
  <c r="G34" i="39"/>
  <c r="E15" i="41"/>
  <c r="E10" i="41"/>
  <c r="C12" i="41"/>
  <c r="C10" i="41"/>
  <c r="D20" i="44"/>
  <c r="D24" i="44"/>
  <c r="D28" i="44"/>
  <c r="D32" i="44"/>
  <c r="D36" i="44"/>
  <c r="D40" i="44"/>
  <c r="D44" i="44"/>
  <c r="D21" i="44"/>
  <c r="D25" i="44"/>
  <c r="D29" i="44"/>
  <c r="D33" i="44"/>
  <c r="D37" i="44"/>
  <c r="D41" i="44"/>
  <c r="G22" i="39"/>
  <c r="G27" i="39"/>
  <c r="G33" i="39"/>
  <c r="G38" i="39"/>
  <c r="G25" i="39"/>
  <c r="G30" i="39"/>
  <c r="G35" i="39"/>
  <c r="F26" i="43"/>
  <c r="F46" i="43"/>
  <c r="D26" i="43"/>
  <c r="D46" i="43"/>
  <c r="F46" i="44"/>
  <c r="E29" i="41"/>
  <c r="E28" i="41"/>
  <c r="C25" i="41"/>
  <c r="C29" i="41"/>
  <c r="C28" i="41"/>
  <c r="C26" i="41"/>
  <c r="E12" i="41"/>
  <c r="E14" i="41"/>
  <c r="E13" i="41"/>
  <c r="E11" i="41"/>
  <c r="C13" i="41"/>
  <c r="C14" i="41"/>
  <c r="C11" i="41"/>
  <c r="C15" i="41"/>
  <c r="F17" i="40"/>
  <c r="F20" i="40"/>
  <c r="H21" i="40"/>
  <c r="H20" i="40"/>
  <c r="G20" i="39"/>
  <c r="G24" i="39"/>
  <c r="G28" i="39"/>
  <c r="G32" i="39"/>
  <c r="G36" i="39"/>
  <c r="C27" i="41"/>
  <c r="H18" i="40"/>
  <c r="F21" i="44"/>
  <c r="F25" i="44"/>
  <c r="F29" i="44"/>
  <c r="F33" i="44"/>
  <c r="F37" i="44"/>
  <c r="F41" i="44"/>
  <c r="F45" i="44"/>
  <c r="F22" i="44"/>
  <c r="F26" i="44"/>
  <c r="F30" i="44"/>
  <c r="F34" i="44"/>
  <c r="F38" i="44"/>
  <c r="F42" i="44"/>
  <c r="D10" i="44"/>
  <c r="E27" i="41"/>
  <c r="E25" i="41"/>
  <c r="E26" i="41"/>
  <c r="AI13" i="51"/>
  <c r="D12" i="44"/>
  <c r="H14" i="44"/>
  <c r="F10" i="40"/>
  <c r="H10" i="40"/>
  <c r="H13" i="40"/>
  <c r="H14" i="40"/>
  <c r="H17" i="40"/>
  <c r="F14" i="40"/>
  <c r="H11" i="40"/>
  <c r="H15" i="40"/>
  <c r="H19" i="40"/>
  <c r="F18" i="40"/>
  <c r="H12" i="40"/>
  <c r="H16" i="40"/>
  <c r="F11" i="40"/>
  <c r="F15" i="40"/>
  <c r="F19" i="40"/>
  <c r="F12" i="40"/>
  <c r="F16" i="40"/>
  <c r="F21" i="40"/>
  <c r="F13" i="40"/>
  <c r="E16" i="51"/>
  <c r="F15" i="51"/>
  <c r="E1" i="51"/>
  <c r="E2" i="51" s="1"/>
  <c r="D50" i="43"/>
  <c r="D49" i="43"/>
  <c r="D48" i="43"/>
  <c r="D45" i="43"/>
  <c r="D44" i="43"/>
  <c r="D43" i="43"/>
  <c r="D42" i="43"/>
  <c r="D41" i="43"/>
  <c r="D40" i="43"/>
  <c r="D39" i="43"/>
  <c r="D38" i="43"/>
  <c r="D37" i="43"/>
  <c r="D36" i="43"/>
  <c r="D35" i="43"/>
  <c r="D34" i="43"/>
  <c r="D33" i="43"/>
  <c r="D31" i="43"/>
  <c r="D30" i="43"/>
  <c r="D29" i="43"/>
  <c r="D28" i="43"/>
  <c r="D27" i="43"/>
  <c r="D25" i="43"/>
  <c r="D24" i="43"/>
  <c r="D23" i="43"/>
  <c r="D22" i="43"/>
  <c r="D21" i="43"/>
  <c r="D20" i="43"/>
  <c r="D19" i="43"/>
  <c r="D18" i="43"/>
  <c r="D17" i="43"/>
  <c r="D16" i="43"/>
  <c r="D15" i="43"/>
  <c r="D14" i="43"/>
  <c r="D13" i="43"/>
  <c r="D12" i="43"/>
  <c r="D11" i="43"/>
  <c r="D10" i="43"/>
  <c r="E14" i="44"/>
  <c r="F10" i="44" s="1"/>
  <c r="F50" i="43"/>
  <c r="F49" i="43"/>
  <c r="F48" i="43"/>
  <c r="F45" i="43"/>
  <c r="F44" i="43"/>
  <c r="F43" i="43"/>
  <c r="F42" i="43"/>
  <c r="F41" i="43"/>
  <c r="F40" i="43"/>
  <c r="F39" i="43"/>
  <c r="F38" i="43"/>
  <c r="F37" i="43"/>
  <c r="F36" i="43"/>
  <c r="F35" i="43"/>
  <c r="F34" i="43"/>
  <c r="F33" i="43"/>
  <c r="F31" i="43"/>
  <c r="F30" i="43"/>
  <c r="F29" i="43"/>
  <c r="F28" i="43"/>
  <c r="F27" i="43"/>
  <c r="F25" i="43"/>
  <c r="F24" i="43"/>
  <c r="F23" i="43"/>
  <c r="F22" i="43"/>
  <c r="F21" i="43"/>
  <c r="F20" i="43"/>
  <c r="F19" i="43"/>
  <c r="F18" i="43"/>
  <c r="F17" i="43"/>
  <c r="F16" i="43"/>
  <c r="F15" i="43"/>
  <c r="F14" i="43"/>
  <c r="F13" i="43"/>
  <c r="F12" i="43"/>
  <c r="F11" i="43"/>
  <c r="F10" i="43"/>
  <c r="E40" i="39"/>
  <c r="E39" i="39"/>
  <c r="E38" i="39"/>
  <c r="E37" i="39"/>
  <c r="E36" i="39"/>
  <c r="E35" i="39"/>
  <c r="E34" i="39"/>
  <c r="E33" i="39"/>
  <c r="E32" i="39"/>
  <c r="E31" i="39"/>
  <c r="E30" i="39"/>
  <c r="E29" i="39"/>
  <c r="E28" i="39"/>
  <c r="E27" i="39"/>
  <c r="E26" i="39"/>
  <c r="E25" i="39"/>
  <c r="E24" i="39"/>
  <c r="E23" i="39"/>
  <c r="E22" i="39"/>
  <c r="E21" i="39"/>
  <c r="E20" i="39"/>
  <c r="D14" i="44" l="1"/>
  <c r="F12" i="44"/>
  <c r="F13" i="44"/>
  <c r="P13" i="51"/>
  <c r="AH13" i="51"/>
  <c r="F16" i="51"/>
  <c r="G15" i="51"/>
  <c r="F1" i="51"/>
  <c r="F2" i="51" s="1"/>
  <c r="F14" i="44" l="1"/>
  <c r="G16" i="51"/>
  <c r="H15" i="51"/>
  <c r="G1" i="51"/>
  <c r="G2" i="51" s="1"/>
  <c r="H1" i="51" l="1"/>
  <c r="H2" i="51" s="1"/>
  <c r="H16" i="51"/>
  <c r="I15" i="51"/>
  <c r="I16" i="51" l="1"/>
  <c r="J15" i="51"/>
  <c r="I1" i="51"/>
  <c r="I2" i="51" s="1"/>
  <c r="E14" i="46"/>
  <c r="I29" i="52"/>
  <c r="B24" i="12"/>
  <c r="D38" i="38"/>
  <c r="D39" i="38"/>
  <c r="C9" i="9"/>
  <c r="C8" i="9"/>
  <c r="I41" i="31"/>
  <c r="C12" i="9" s="1"/>
  <c r="H41" i="31"/>
  <c r="C13" i="9" s="1"/>
  <c r="C41" i="31"/>
  <c r="D29" i="10"/>
  <c r="D30" i="31"/>
  <c r="C29" i="10" s="1"/>
  <c r="F14" i="46"/>
  <c r="C17" i="9"/>
  <c r="M3" i="58"/>
  <c r="D8" i="38"/>
  <c r="C8" i="38"/>
  <c r="D2" i="21"/>
  <c r="D1" i="21"/>
  <c r="C2" i="28"/>
  <c r="C1" i="28"/>
  <c r="M2" i="58"/>
  <c r="E2" i="58"/>
  <c r="M1" i="58"/>
  <c r="E1" i="58"/>
  <c r="M11" i="58"/>
  <c r="M12" i="58" s="1"/>
  <c r="F11" i="58"/>
  <c r="F12" i="58" s="1"/>
  <c r="H11" i="58"/>
  <c r="H12" i="58" s="1"/>
  <c r="K11" i="58"/>
  <c r="K12" i="58" s="1"/>
  <c r="J11" i="58"/>
  <c r="J12" i="58" s="1"/>
  <c r="L11" i="58"/>
  <c r="L12" i="58" s="1"/>
  <c r="I11" i="58"/>
  <c r="I12" i="58" s="1"/>
  <c r="G11" i="58"/>
  <c r="G12" i="58" s="1"/>
  <c r="C10" i="10"/>
  <c r="D14" i="6"/>
  <c r="C9" i="12"/>
  <c r="C9" i="10"/>
  <c r="D12" i="6"/>
  <c r="D13" i="6" s="1"/>
  <c r="D11" i="6"/>
  <c r="D10" i="6"/>
  <c r="D9" i="6"/>
  <c r="B9" i="12"/>
  <c r="H2" i="53"/>
  <c r="H1" i="53"/>
  <c r="A20" i="19"/>
  <c r="A21" i="19" s="1"/>
  <c r="A22" i="19" s="1"/>
  <c r="A23" i="19" s="1"/>
  <c r="A24" i="19" s="1"/>
  <c r="A25" i="19" s="1"/>
  <c r="A26" i="19" s="1"/>
  <c r="A27" i="19" s="1"/>
  <c r="A28" i="19" s="1"/>
  <c r="A29" i="19" s="1"/>
  <c r="A30" i="19" s="1"/>
  <c r="D10" i="11"/>
  <c r="C10" i="11" s="1"/>
  <c r="D26" i="10"/>
  <c r="C37" i="31"/>
  <c r="C26" i="10" s="1"/>
  <c r="C24" i="10" s="1"/>
  <c r="B38" i="31"/>
  <c r="B37" i="31"/>
  <c r="D2" i="5"/>
  <c r="E2" i="50"/>
  <c r="N2" i="38"/>
  <c r="A2" i="27"/>
  <c r="A2" i="13"/>
  <c r="C2" i="12"/>
  <c r="D2" i="11"/>
  <c r="D2" i="10"/>
  <c r="C2" i="9"/>
  <c r="N2" i="37"/>
  <c r="G2" i="46"/>
  <c r="G2" i="26"/>
  <c r="E2" i="7"/>
  <c r="E2" i="6"/>
  <c r="B2" i="19"/>
  <c r="E1" i="50"/>
  <c r="N1" i="38"/>
  <c r="A1" i="27"/>
  <c r="A1" i="13"/>
  <c r="C1" i="12"/>
  <c r="D1" i="11"/>
  <c r="D1" i="10"/>
  <c r="C1" i="9"/>
  <c r="N1" i="37"/>
  <c r="G1" i="46"/>
  <c r="G1" i="26"/>
  <c r="E1" i="7"/>
  <c r="E1" i="6"/>
  <c r="B1" i="19"/>
  <c r="D1" i="5"/>
  <c r="D8" i="6"/>
  <c r="D24" i="6"/>
  <c r="E23" i="6" s="1"/>
  <c r="B24" i="6"/>
  <c r="C23" i="6" s="1"/>
  <c r="I23" i="52"/>
  <c r="B19" i="6"/>
  <c r="C18" i="6" s="1"/>
  <c r="C8" i="12"/>
  <c r="B8" i="12"/>
  <c r="D9" i="26"/>
  <c r="B11" i="6"/>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D9" i="11"/>
  <c r="C9" i="11" s="1"/>
  <c r="D8" i="11"/>
  <c r="C8" i="11" s="1"/>
  <c r="C13" i="10"/>
  <c r="C12" i="10"/>
  <c r="C11" i="10"/>
  <c r="C8" i="10"/>
  <c r="C7" i="10"/>
  <c r="C16" i="9"/>
  <c r="D19" i="6"/>
  <c r="E17" i="6" s="1"/>
  <c r="B14" i="6"/>
  <c r="B13" i="6"/>
  <c r="D15" i="5"/>
  <c r="D5" i="5"/>
  <c r="C25" i="9"/>
  <c r="C23" i="9"/>
  <c r="C22" i="9"/>
  <c r="D19" i="9"/>
  <c r="C19" i="9"/>
  <c r="C18" i="9"/>
  <c r="B12" i="6"/>
  <c r="B8" i="6"/>
  <c r="D21" i="10"/>
  <c r="C25" i="10" l="1"/>
  <c r="C22" i="6"/>
  <c r="C24" i="6" s="1"/>
  <c r="F17" i="46"/>
  <c r="F18" i="46" s="1"/>
  <c r="I17" i="51" s="1"/>
  <c r="E19" i="6"/>
  <c r="E18" i="6"/>
  <c r="E22" i="6"/>
  <c r="E24" i="6" s="1"/>
  <c r="D37" i="38"/>
  <c r="J16" i="51"/>
  <c r="K15" i="51"/>
  <c r="J1" i="51"/>
  <c r="J2" i="51" s="1"/>
  <c r="C39" i="38"/>
  <c r="C15" i="38" s="1"/>
  <c r="D36" i="38"/>
  <c r="C37" i="38"/>
  <c r="H16" i="52"/>
  <c r="H25" i="52"/>
  <c r="I25" i="52"/>
  <c r="F23" i="52"/>
  <c r="D25" i="52"/>
  <c r="E25" i="52"/>
  <c r="J26" i="52"/>
  <c r="H29" i="52"/>
  <c r="C35" i="38"/>
  <c r="C40" i="38"/>
  <c r="C16" i="38" s="1"/>
  <c r="F28" i="52"/>
  <c r="J29" i="52"/>
  <c r="C17" i="6"/>
  <c r="C19" i="6" s="1"/>
  <c r="D35" i="38"/>
  <c r="E28" i="52"/>
  <c r="J28" i="52"/>
  <c r="F33" i="52"/>
  <c r="C36" i="38"/>
  <c r="C38" i="38"/>
  <c r="C14" i="38" s="1"/>
  <c r="J30" i="52"/>
  <c r="I30" i="52"/>
  <c r="F30" i="52"/>
  <c r="J23" i="52"/>
  <c r="C42" i="38" l="1"/>
  <c r="D42" i="38"/>
  <c r="H19" i="52" s="1"/>
  <c r="H37" i="52" s="1"/>
  <c r="C13" i="38"/>
  <c r="C18" i="38" s="1"/>
  <c r="K16" i="51"/>
  <c r="L15" i="51"/>
  <c r="K1" i="51"/>
  <c r="K2" i="51" s="1"/>
  <c r="E30" i="52"/>
  <c r="F25" i="52"/>
  <c r="E23" i="52"/>
  <c r="I28" i="52"/>
  <c r="E26" i="52"/>
  <c r="J33" i="52"/>
  <c r="E29" i="52"/>
  <c r="F29" i="52"/>
  <c r="F26" i="52"/>
  <c r="J25" i="52"/>
  <c r="J34" i="52"/>
  <c r="J32" i="52"/>
  <c r="I33" i="52"/>
  <c r="D28" i="52"/>
  <c r="H30" i="52"/>
  <c r="H23" i="52"/>
  <c r="E33" i="52"/>
  <c r="C9" i="38" l="1"/>
  <c r="C10" i="38" s="1"/>
  <c r="D19" i="52"/>
  <c r="D8" i="26"/>
  <c r="E9" i="26" s="1"/>
  <c r="D9" i="38"/>
  <c r="D10" i="38" s="1"/>
  <c r="L1" i="51"/>
  <c r="L2" i="51" s="1"/>
  <c r="L16" i="51"/>
  <c r="M15" i="51"/>
  <c r="F34" i="52"/>
  <c r="I34" i="52"/>
  <c r="D26" i="52"/>
  <c r="H28" i="52"/>
  <c r="D30" i="52"/>
  <c r="D29" i="52"/>
  <c r="D23" i="52"/>
  <c r="F32" i="52"/>
  <c r="I32" i="52"/>
  <c r="E34" i="52"/>
  <c r="D32" i="52"/>
  <c r="E32" i="52"/>
  <c r="C12" i="58"/>
  <c r="B12" i="58"/>
  <c r="H33" i="52"/>
  <c r="D33" i="52"/>
  <c r="H34" i="52"/>
  <c r="D12" i="58"/>
  <c r="M16" i="51" l="1"/>
  <c r="N15" i="51"/>
  <c r="M1" i="51"/>
  <c r="M2" i="51" s="1"/>
  <c r="D34" i="52"/>
  <c r="E12" i="58"/>
  <c r="H32" i="52"/>
  <c r="H36" i="52"/>
  <c r="B11" i="58"/>
  <c r="C10" i="58"/>
  <c r="C11" i="58" s="1"/>
  <c r="D11" i="58"/>
  <c r="E10" i="58"/>
  <c r="N16" i="51" l="1"/>
  <c r="O15" i="51"/>
  <c r="N1" i="51"/>
  <c r="N2" i="51" s="1"/>
  <c r="E11" i="58"/>
  <c r="O16" i="51" l="1"/>
  <c r="P15" i="51"/>
  <c r="O1" i="51"/>
  <c r="O2" i="51" s="1"/>
  <c r="P16" i="51" l="1"/>
  <c r="Q15" i="51"/>
  <c r="P1" i="51"/>
  <c r="P2" i="51" s="1"/>
  <c r="Q16" i="51" l="1"/>
  <c r="R15" i="51"/>
  <c r="Q1" i="51"/>
  <c r="Q2" i="51" s="1"/>
  <c r="R16" i="51" l="1"/>
  <c r="S15" i="51"/>
  <c r="R1" i="51"/>
  <c r="R2" i="51" s="1"/>
  <c r="S16" i="51" l="1"/>
  <c r="T15" i="51"/>
  <c r="S1" i="51"/>
  <c r="S2" i="51" s="1"/>
  <c r="T1" i="51" l="1"/>
  <c r="T2" i="51" s="1"/>
  <c r="T16" i="51"/>
  <c r="U15" i="51"/>
  <c r="U16" i="51" l="1"/>
  <c r="V15" i="51"/>
  <c r="U1" i="51"/>
  <c r="U2" i="51" s="1"/>
  <c r="V16" i="51" l="1"/>
  <c r="W15" i="51"/>
  <c r="V1" i="51"/>
  <c r="V2" i="51" s="1"/>
  <c r="W16" i="51" l="1"/>
  <c r="X15" i="51"/>
  <c r="W1" i="51"/>
  <c r="W2" i="51" s="1"/>
  <c r="X1" i="51" l="1"/>
  <c r="X2" i="51" s="1"/>
  <c r="X16" i="51"/>
  <c r="Y15" i="51"/>
  <c r="Y16" i="51" l="1"/>
  <c r="Z15" i="51"/>
  <c r="Y1" i="51"/>
  <c r="Y2" i="51" s="1"/>
  <c r="Z16" i="51" l="1"/>
  <c r="AA15" i="51"/>
  <c r="Z1" i="51"/>
  <c r="Z2" i="51" s="1"/>
  <c r="AA16" i="51" l="1"/>
  <c r="AB15" i="51"/>
  <c r="AA1" i="51"/>
  <c r="AA2" i="51" s="1"/>
  <c r="AB1" i="51" l="1"/>
  <c r="AB2" i="51" s="1"/>
  <c r="AB16" i="51"/>
  <c r="AC15" i="51"/>
  <c r="AC16" i="51" l="1"/>
  <c r="AD15" i="51"/>
  <c r="AC1" i="51"/>
  <c r="AC2" i="51" s="1"/>
  <c r="AD16" i="51" l="1"/>
  <c r="AE15" i="51"/>
  <c r="AD1" i="51"/>
  <c r="AD2" i="51" s="1"/>
  <c r="AE16" i="51" l="1"/>
  <c r="AF15" i="51"/>
  <c r="AE1" i="51"/>
  <c r="AE2" i="51" s="1"/>
  <c r="AF1" i="51" l="1"/>
  <c r="AF2" i="51" s="1"/>
  <c r="AF16" i="51"/>
  <c r="AG15" i="51"/>
  <c r="AG16" i="51" l="1"/>
  <c r="AH15" i="51"/>
  <c r="AG1" i="51"/>
  <c r="AG2" i="51" s="1"/>
  <c r="AH16" i="51" l="1"/>
  <c r="AI15" i="51"/>
  <c r="AH1" i="51"/>
  <c r="AH2" i="51" s="1"/>
  <c r="AI16" i="51" l="1"/>
  <c r="AJ15" i="51"/>
  <c r="AI1" i="51"/>
  <c r="AI2" i="51" s="1"/>
  <c r="AJ1" i="51" l="1"/>
  <c r="AJ2" i="51" s="1"/>
  <c r="AJ16" i="51"/>
  <c r="AK15" i="51"/>
  <c r="AK16" i="51" l="1"/>
  <c r="AL15" i="51"/>
  <c r="AK1" i="51"/>
  <c r="AK2" i="51" s="1"/>
  <c r="AL16" i="51" l="1"/>
  <c r="AM15" i="51"/>
  <c r="AL1" i="51"/>
  <c r="AL2" i="51" s="1"/>
  <c r="AM16" i="51" l="1"/>
  <c r="AN15" i="51"/>
  <c r="AM1" i="51"/>
  <c r="AM2" i="51" s="1"/>
  <c r="AN1" i="51" l="1"/>
  <c r="AN2" i="51" s="1"/>
  <c r="AN16" i="51"/>
  <c r="AO15" i="51"/>
  <c r="AO16" i="51" l="1"/>
  <c r="AP15" i="51"/>
  <c r="AO1" i="51"/>
  <c r="AO2" i="51" s="1"/>
  <c r="AP16" i="51" l="1"/>
  <c r="AQ15" i="51"/>
  <c r="AP1" i="51"/>
  <c r="AP2" i="51" s="1"/>
  <c r="AQ16" i="51" l="1"/>
  <c r="AR15" i="51"/>
  <c r="AQ1" i="51"/>
  <c r="AQ2" i="51" s="1"/>
  <c r="AR1" i="51" l="1"/>
  <c r="AR2" i="51" s="1"/>
  <c r="AR16" i="51"/>
  <c r="AS15" i="51"/>
  <c r="AS16" i="51" l="1"/>
  <c r="AT15" i="51"/>
  <c r="AS1" i="51"/>
  <c r="AS2" i="51" s="1"/>
  <c r="AT16" i="51" l="1"/>
  <c r="AU15" i="51"/>
  <c r="AT1" i="51"/>
  <c r="AT2" i="51" s="1"/>
  <c r="AU16" i="51" l="1"/>
  <c r="AV15" i="51"/>
  <c r="AU1" i="51"/>
  <c r="AU2" i="51" s="1"/>
  <c r="AV1" i="51" l="1"/>
  <c r="AV2" i="51" s="1"/>
  <c r="AV16" i="51"/>
  <c r="AW15" i="51"/>
  <c r="AW16" i="51" l="1"/>
  <c r="AX15" i="51"/>
  <c r="AW1" i="51"/>
  <c r="AW2" i="51" s="1"/>
  <c r="AX16" i="51" l="1"/>
  <c r="AY15" i="51"/>
  <c r="AX1" i="51"/>
  <c r="AX2" i="51" s="1"/>
  <c r="AY16" i="51" l="1"/>
  <c r="AZ15" i="51"/>
  <c r="AY1" i="51"/>
  <c r="AY2" i="51" s="1"/>
  <c r="AZ1" i="51" l="1"/>
  <c r="AZ2" i="51" s="1"/>
  <c r="AZ16" i="51"/>
  <c r="BA15" i="51"/>
  <c r="BA16" i="51" l="1"/>
  <c r="BB15" i="51"/>
  <c r="BA1" i="51"/>
  <c r="BA2" i="51" s="1"/>
  <c r="BB16" i="51" l="1"/>
  <c r="BC15" i="51"/>
  <c r="BB1" i="51"/>
  <c r="BB2" i="51" s="1"/>
  <c r="BC16" i="51" l="1"/>
  <c r="BD15" i="51"/>
  <c r="BC1" i="51"/>
  <c r="BC2" i="51" s="1"/>
  <c r="BD1" i="51" l="1"/>
  <c r="BD2" i="51" s="1"/>
  <c r="BD16" i="51"/>
  <c r="BE15" i="51"/>
  <c r="BE16" i="51" l="1"/>
  <c r="BF15" i="51"/>
  <c r="BE1" i="51"/>
  <c r="BE2" i="51" s="1"/>
  <c r="BF16" i="51" l="1"/>
  <c r="BG15" i="51"/>
  <c r="BF1" i="51"/>
  <c r="BF2" i="51" s="1"/>
  <c r="BG16" i="51" l="1"/>
  <c r="BH15" i="51"/>
  <c r="BG1" i="51"/>
  <c r="BG2" i="51" s="1"/>
  <c r="BH1" i="51" l="1"/>
  <c r="BH2" i="51" s="1"/>
  <c r="BH16" i="51"/>
  <c r="BI15" i="51"/>
  <c r="BI16" i="51" l="1"/>
  <c r="BJ15" i="51"/>
  <c r="BI1" i="51"/>
  <c r="BI2" i="51" s="1"/>
  <c r="BJ16" i="51" l="1"/>
  <c r="BK15" i="51"/>
  <c r="BJ1" i="51"/>
  <c r="BJ2" i="51" s="1"/>
  <c r="BK16" i="51" l="1"/>
  <c r="BK1" i="51"/>
  <c r="BK2" i="51" s="1"/>
  <c r="G42" i="40"/>
  <c r="J43" i="40" l="1"/>
  <c r="I26" i="52" l="1"/>
  <c r="G43" i="40"/>
  <c r="H41" i="40" l="1"/>
  <c r="H40" i="40"/>
  <c r="H26" i="52"/>
  <c r="H33" i="40"/>
  <c r="H37" i="40"/>
  <c r="H32" i="40"/>
  <c r="H31" i="40"/>
  <c r="H38" i="40"/>
  <c r="H34" i="40"/>
  <c r="H39" i="40"/>
  <c r="H36" i="40"/>
  <c r="H35" i="40"/>
  <c r="H42" i="40"/>
</calcChain>
</file>

<file path=xl/comments1.xml><?xml version="1.0" encoding="utf-8"?>
<comments xmlns="http://schemas.openxmlformats.org/spreadsheetml/2006/main">
  <authors>
    <author>Gonzalez Schiller, Alexander</author>
  </authors>
  <commentList>
    <comment ref="E36" authorId="0" shapeId="0">
      <text>
        <r>
          <rPr>
            <sz val="8"/>
            <color indexed="81"/>
            <rFont val="Tahoma"/>
            <family val="2"/>
          </rPr>
          <t>Letzte Fälligkeit gemäß Run Out Schedule (Asset Information)</t>
        </r>
      </text>
    </comment>
  </commentList>
</comments>
</file>

<file path=xl/sharedStrings.xml><?xml version="1.0" encoding="utf-8"?>
<sst xmlns="http://schemas.openxmlformats.org/spreadsheetml/2006/main" count="3052" uniqueCount="657">
  <si>
    <t>Deal Name:</t>
  </si>
  <si>
    <t>Issuer:</t>
  </si>
  <si>
    <t>Volkswagen Leasing GmbH</t>
  </si>
  <si>
    <t>Reporting Entity:</t>
  </si>
  <si>
    <t>Contact:</t>
  </si>
  <si>
    <t>Monthly Period:</t>
  </si>
  <si>
    <t>Payment Date:</t>
  </si>
  <si>
    <t>Period No.:</t>
  </si>
  <si>
    <t>Issue Date:</t>
  </si>
  <si>
    <t>Interest Accrual Period</t>
  </si>
  <si>
    <t>Note Payment Period:</t>
  </si>
  <si>
    <t>Swap Counterparty:</t>
  </si>
  <si>
    <t>Rating at Issue Date</t>
  </si>
  <si>
    <t>Moody's</t>
  </si>
  <si>
    <t>Current Rating</t>
  </si>
  <si>
    <t>Information on Notes</t>
  </si>
  <si>
    <t xml:space="preserve">Nominal Amount </t>
  </si>
  <si>
    <t>Information on Interest</t>
  </si>
  <si>
    <t>Index Rate</t>
  </si>
  <si>
    <t>Fixed/Floating</t>
  </si>
  <si>
    <t>floating</t>
  </si>
  <si>
    <t>Current Coupon</t>
  </si>
  <si>
    <t>Day Count Convention</t>
  </si>
  <si>
    <t>Clean-Up Call</t>
  </si>
  <si>
    <t>Note Balance</t>
  </si>
  <si>
    <t>Overcollateralisation</t>
  </si>
  <si>
    <t>Initial OC Percentage at Poolcut</t>
  </si>
  <si>
    <t>Current OC Percentage</t>
  </si>
  <si>
    <t>Target OC Percentage</t>
  </si>
  <si>
    <t>Credit Enhancement</t>
  </si>
  <si>
    <t>Calculation of Credit Enhancement</t>
  </si>
  <si>
    <t xml:space="preserve">Amortising Interest Rate Swap </t>
  </si>
  <si>
    <t>Initial Principal</t>
  </si>
  <si>
    <t>Underlying Principal for Reporting Period</t>
  </si>
  <si>
    <t>Paying Leg</t>
  </si>
  <si>
    <t xml:space="preserve">Fix Interest Rate </t>
  </si>
  <si>
    <t>Receiving Leg</t>
  </si>
  <si>
    <t>Floating Interest Rate</t>
  </si>
  <si>
    <t>Waterfall</t>
  </si>
  <si>
    <t>Available Distribution Amount</t>
  </si>
  <si>
    <t>Poolcut</t>
  </si>
  <si>
    <t>Number of Contracts</t>
  </si>
  <si>
    <t>Total</t>
  </si>
  <si>
    <t>Audi</t>
  </si>
  <si>
    <t>Current</t>
  </si>
  <si>
    <t>Delinquent</t>
  </si>
  <si>
    <t>Write-Off</t>
  </si>
  <si>
    <t>Seller of the Receivables:</t>
  </si>
  <si>
    <t>Cut-Off Date/ Poolcut:</t>
  </si>
  <si>
    <t>Page</t>
  </si>
  <si>
    <t>Table of Contents</t>
  </si>
  <si>
    <t>Cover</t>
  </si>
  <si>
    <t>Interest</t>
  </si>
  <si>
    <t>arrears</t>
  </si>
  <si>
    <t>Run Out Schedule I</t>
  </si>
  <si>
    <t>Run Out Schedule II</t>
  </si>
  <si>
    <t>Amortisation Profile II</t>
  </si>
  <si>
    <t>ISIN:</t>
  </si>
  <si>
    <t>n.a.</t>
  </si>
  <si>
    <t>Clean-Up Call Condition</t>
  </si>
  <si>
    <t>Legal Maturity Date</t>
  </si>
  <si>
    <t>Demonstration Vehicles</t>
  </si>
  <si>
    <t>Customer Type</t>
  </si>
  <si>
    <t>Swap Counterparty</t>
  </si>
  <si>
    <t>Next Payment Date:</t>
  </si>
  <si>
    <t>Information Date:</t>
  </si>
  <si>
    <t>Period:</t>
  </si>
  <si>
    <t>Interest Accrual Period to:</t>
  </si>
  <si>
    <t>Interest Accrual Period since:</t>
  </si>
  <si>
    <t>Fields to be filled manually at pool cut date</t>
  </si>
  <si>
    <t>Spread</t>
  </si>
  <si>
    <t>Scheduled Repayment Date</t>
  </si>
  <si>
    <t>ISIN</t>
  </si>
  <si>
    <t>Common Code</t>
  </si>
  <si>
    <t>Nominal Amount</t>
  </si>
  <si>
    <t>Notes</t>
  </si>
  <si>
    <t>Class A Notes</t>
  </si>
  <si>
    <t>Class B Notes</t>
  </si>
  <si>
    <t>Fields to be filled manually on a monthly basis</t>
  </si>
  <si>
    <t>Lease Receivables (ABS) Discount Rate</t>
  </si>
  <si>
    <t>Servicing Fee in percentage</t>
  </si>
  <si>
    <t>Administration Fee in percentage</t>
  </si>
  <si>
    <t>% Target Note Balance Trigger</t>
  </si>
  <si>
    <t>Specified General Cash Collateral Account Balance %</t>
  </si>
  <si>
    <t>Cash Collateral Account Floor</t>
  </si>
  <si>
    <t>Fixed / Floating</t>
  </si>
  <si>
    <t>Paying leg:fix interest rate A</t>
  </si>
  <si>
    <t>Paying leg:fix interest rate B</t>
  </si>
  <si>
    <t>Paying leg:fix interest Subloan</t>
  </si>
  <si>
    <t>Cash Collateral Account</t>
  </si>
  <si>
    <t>Discounted Lease Balance (M-1)</t>
  </si>
  <si>
    <t>German Trade Tax Risk Reserve</t>
  </si>
  <si>
    <t>Cash Collateral Amount as of the Beginning of the Monthly Period</t>
  </si>
  <si>
    <t>German Trade Tax Risk Reserve Floor</t>
  </si>
  <si>
    <t>Clean Up Call Condition</t>
  </si>
  <si>
    <t>Reporting Information</t>
  </si>
  <si>
    <t>Fees</t>
  </si>
  <si>
    <t>Additional parameters</t>
  </si>
  <si>
    <t>Top up Flag</t>
  </si>
  <si>
    <t>Tap up Flag</t>
  </si>
  <si>
    <t>Interest per note Flag</t>
  </si>
  <si>
    <t>Floating Interest Rate Flag</t>
  </si>
  <si>
    <t>Yes_No</t>
  </si>
  <si>
    <t>Yes</t>
  </si>
  <si>
    <t>No</t>
  </si>
  <si>
    <t>Term Take Out</t>
  </si>
  <si>
    <t>Purchase Price Discount Rate</t>
  </si>
  <si>
    <t>Notes Balance (M-1) Class A</t>
  </si>
  <si>
    <t>Notes Balance (M-1) Class B</t>
  </si>
  <si>
    <t>Notes Balance (M-1) Subloan</t>
  </si>
  <si>
    <t>Interest - not paid - Aggregated (M-1) Class A</t>
  </si>
  <si>
    <t>Interest - not paid - Aggregated (M-1) Class B</t>
  </si>
  <si>
    <t>Interest - not paid - Aggregated (M-1) Subloan</t>
  </si>
  <si>
    <t>Offene Felder die generiert werden müssen / nicht im IR vorhanden sind</t>
  </si>
  <si>
    <t>WAL</t>
  </si>
  <si>
    <t>Overcollateralisation %</t>
  </si>
  <si>
    <t>% OC Targeted Overcollateralisation Amount</t>
  </si>
  <si>
    <t>Credit Enhancement Increase Condition L1</t>
  </si>
  <si>
    <t>Credit Enhancement Increase Condition L2</t>
  </si>
  <si>
    <t>Number of contracts at Pool Cut date</t>
  </si>
  <si>
    <t>New - ODLB @PC</t>
  </si>
  <si>
    <t>New - Number @PC</t>
  </si>
  <si>
    <t>Used - Number @PC</t>
  </si>
  <si>
    <t>Used - ODLB @PC</t>
  </si>
  <si>
    <t>Demo - Number @PC</t>
  </si>
  <si>
    <t>Demo - ODLB @PC</t>
  </si>
  <si>
    <t>Future Discounted Lease Balance (M-1)</t>
  </si>
  <si>
    <t>Nominal Balance at Pool Cut Date</t>
  </si>
  <si>
    <t>Retention of VW Leasing - Number</t>
  </si>
  <si>
    <t>Retention of VW Leasing - Nominal Balance</t>
  </si>
  <si>
    <t>Cumulative Net Loss Ratio 1 L1</t>
  </si>
  <si>
    <t>Cumulative Net Loss Ratio 1 L1 until</t>
  </si>
  <si>
    <t>Cumulative Net Loss Ratio 2 L1</t>
  </si>
  <si>
    <t>Cumulative Net Loss Ratio 2 until L1</t>
  </si>
  <si>
    <t>Cumulative Net Loss Ratio 1 L2</t>
  </si>
  <si>
    <t>Servicer name:</t>
  </si>
  <si>
    <t>Servicer Name</t>
  </si>
  <si>
    <t>Deal Overview</t>
  </si>
  <si>
    <t>Reporting frequency:</t>
  </si>
  <si>
    <t>monthly</t>
  </si>
  <si>
    <t>Reporting Frequency</t>
  </si>
  <si>
    <t>Asset Collection Period:</t>
  </si>
  <si>
    <t>Type of Car</t>
  </si>
  <si>
    <t>Used Cars</t>
  </si>
  <si>
    <t>New Cars</t>
  </si>
  <si>
    <t>Rating at Issue Date Rating Agency 1</t>
  </si>
  <si>
    <t>Rating at Issue Date Rating Agency 2</t>
  </si>
  <si>
    <t>Rating at Issue Date Rating Agency 3</t>
  </si>
  <si>
    <t>Current Rating Agency 1</t>
  </si>
  <si>
    <t>Current Rating Agency 2</t>
  </si>
  <si>
    <t>Current Rating Agency 3</t>
  </si>
  <si>
    <t>Interest Accrual Period (from/until)</t>
  </si>
  <si>
    <t>Days accrued</t>
  </si>
  <si>
    <t>Interest Payments</t>
  </si>
  <si>
    <t>Total Interest Amount of the Reporting Period</t>
  </si>
  <si>
    <t>Overcollateralization</t>
  </si>
  <si>
    <t>Value</t>
  </si>
  <si>
    <t>Reporting Details</t>
  </si>
  <si>
    <t>VCL Master S.A. acting on behalf of its Compartment 1</t>
  </si>
  <si>
    <t>Originator of the Receivables</t>
  </si>
  <si>
    <t>Seller of the Receivables</t>
  </si>
  <si>
    <t>Issue Date</t>
  </si>
  <si>
    <t>Cut-Off Date</t>
  </si>
  <si>
    <t>Scheduled Date of Clean-Up-Call</t>
  </si>
  <si>
    <t>Days accrued:</t>
  </si>
  <si>
    <t>Parties Overview</t>
  </si>
  <si>
    <t>Swap Fixing / Waterfall</t>
  </si>
  <si>
    <t>Remaining Interest</t>
  </si>
  <si>
    <t>Overview Outstanding Contracts</t>
  </si>
  <si>
    <t>Percentage of Contracts</t>
  </si>
  <si>
    <t>New Vehicle</t>
  </si>
  <si>
    <t>Used Vehicle</t>
  </si>
  <si>
    <t>Retail</t>
  </si>
  <si>
    <t>Corporate</t>
  </si>
  <si>
    <t>Payment Date</t>
  </si>
  <si>
    <t>Remaining Instalments in arrears (M)</t>
  </si>
  <si>
    <t>Remaining Interest in arrears (M)</t>
  </si>
  <si>
    <t>Remaining Discounted Lease Balance in arrears (M-1)</t>
  </si>
  <si>
    <t>Remaining Discounted Lease Balance in arrears (M)</t>
  </si>
  <si>
    <t>Remaining Instalments in arrears (M-1)</t>
  </si>
  <si>
    <t>Remaining Interest in arrears (M-1)</t>
  </si>
  <si>
    <t>Contract Status Development</t>
  </si>
  <si>
    <t>Total Porfolio</t>
  </si>
  <si>
    <t>Contract Concentration</t>
  </si>
  <si>
    <t>Total 1 - 20</t>
  </si>
  <si>
    <t>Pool Data I</t>
  </si>
  <si>
    <t>Statistics</t>
  </si>
  <si>
    <t>Maximum Remaining Term</t>
  </si>
  <si>
    <t>Weighted Average Remaining Term</t>
  </si>
  <si>
    <t>Distribution by Brand &amp; Model</t>
  </si>
  <si>
    <t>Model</t>
  </si>
  <si>
    <t>VW</t>
  </si>
  <si>
    <t/>
  </si>
  <si>
    <t>Pool Data II</t>
  </si>
  <si>
    <t>Pool Data III</t>
  </si>
  <si>
    <t>Pool Data IV</t>
  </si>
  <si>
    <t>Pool Data V</t>
  </si>
  <si>
    <t>Distribution by Geographic Distribution</t>
  </si>
  <si>
    <t>Distribution by brand</t>
  </si>
  <si>
    <t>Type of Car at Pool Cut</t>
  </si>
  <si>
    <t xml:space="preserve">Scheduled Clean Up Call Date </t>
  </si>
  <si>
    <t>End of Term</t>
  </si>
  <si>
    <t>Early Settlement</t>
  </si>
  <si>
    <t>Credit Enhancement Increase Conditions</t>
  </si>
  <si>
    <t>1) Taxes</t>
  </si>
  <si>
    <t>2) Payment to Security Trustee</t>
  </si>
  <si>
    <t>2.1) Payment to Security Trustee</t>
  </si>
  <si>
    <t>2.2) Payment to Succesor of Security Trustee</t>
  </si>
  <si>
    <t>4) Payment in respect of fees</t>
  </si>
  <si>
    <t>4.i) Payment to Directors of the issuer</t>
  </si>
  <si>
    <t>4.ii) Payment to the Corporate Servicer Provider</t>
  </si>
  <si>
    <t>4.iv) Payment to Registar</t>
  </si>
  <si>
    <t>4.v) Payment to Account Bank</t>
  </si>
  <si>
    <t>4.vi) Payment to Rating Agencies</t>
  </si>
  <si>
    <t>4.vii) Payment to Issuer</t>
  </si>
  <si>
    <t>4.vii) Payment in respect of listing of the notes</t>
  </si>
  <si>
    <t>4.vii) Tax filing fees</t>
  </si>
  <si>
    <t>4.vii) Annual return or excempt company status fees</t>
  </si>
  <si>
    <t>4.vii) Payment in respect of admission to trading</t>
  </si>
  <si>
    <t>9) Payment to CCA due to German Trade Tax Increase Event</t>
  </si>
  <si>
    <t>12) Other Payment to Swap Counterparties</t>
  </si>
  <si>
    <t>Transaction Events I</t>
  </si>
  <si>
    <t>Transaction Events II</t>
  </si>
  <si>
    <t>Transaction Events III</t>
  </si>
  <si>
    <t>Amortisation Profile I</t>
  </si>
  <si>
    <t>Outstanding Contracts</t>
  </si>
  <si>
    <t>NO</t>
  </si>
  <si>
    <t>Minimum Seasoning</t>
  </si>
  <si>
    <t>Maximum Seasoning</t>
  </si>
  <si>
    <t>Weighted Average Seasoning</t>
  </si>
  <si>
    <t>4.iii) Payment to the Data Protection Trustee</t>
  </si>
  <si>
    <t>Servicer</t>
  </si>
  <si>
    <t>Delinquent Contracts</t>
  </si>
  <si>
    <t>Contents</t>
  </si>
  <si>
    <t>Information regarding the Notes I</t>
  </si>
  <si>
    <t>Information regarding the Notes II</t>
  </si>
  <si>
    <t>Index</t>
  </si>
  <si>
    <t>Actual Note Balance</t>
  </si>
  <si>
    <r>
      <t>Actual Note Balance</t>
    </r>
    <r>
      <rPr>
        <b/>
        <sz val="10"/>
        <color rgb="FF004666"/>
        <rFont val="Arial"/>
        <family val="2"/>
      </rPr>
      <t>2</t>
    </r>
  </si>
  <si>
    <t>Reporting Period</t>
  </si>
  <si>
    <t>Transaction Events (I)</t>
  </si>
  <si>
    <t>Transaction Events (II)</t>
  </si>
  <si>
    <t>Transaction Events (III)</t>
  </si>
  <si>
    <t>Distribution by Seasoning</t>
  </si>
  <si>
    <t>Publication Date:</t>
  </si>
  <si>
    <t>Number of Notes</t>
  </si>
  <si>
    <t>Reporting Date:</t>
  </si>
  <si>
    <r>
      <t>Long Term</t>
    </r>
    <r>
      <rPr>
        <b/>
        <sz val="10"/>
        <color rgb="FF004666"/>
        <rFont val="Arial"/>
        <family val="2"/>
      </rPr>
      <t>2</t>
    </r>
  </si>
  <si>
    <r>
      <t>Short Term</t>
    </r>
    <r>
      <rPr>
        <b/>
        <sz val="10"/>
        <color rgb="FF004666"/>
        <rFont val="Arial"/>
        <family val="2"/>
      </rPr>
      <t>3</t>
    </r>
  </si>
  <si>
    <r>
      <t>Outlook</t>
    </r>
    <r>
      <rPr>
        <b/>
        <sz val="10"/>
        <color rgb="FF004666"/>
        <rFont val="Arial"/>
        <family val="2"/>
      </rPr>
      <t>4</t>
    </r>
  </si>
  <si>
    <r>
      <t>Long Term</t>
    </r>
    <r>
      <rPr>
        <b/>
        <sz val="10"/>
        <color rgb="FF004666"/>
        <rFont val="Arial"/>
        <family val="2"/>
      </rPr>
      <t>8</t>
    </r>
  </si>
  <si>
    <r>
      <t>Short Term</t>
    </r>
    <r>
      <rPr>
        <b/>
        <sz val="10"/>
        <color rgb="FF004666"/>
        <rFont val="Arial"/>
        <family val="2"/>
      </rPr>
      <t>9</t>
    </r>
  </si>
  <si>
    <r>
      <t>Outlook</t>
    </r>
    <r>
      <rPr>
        <b/>
        <sz val="10"/>
        <color rgb="FF004666"/>
        <rFont val="Arial"/>
        <family val="2"/>
      </rPr>
      <t>10</t>
    </r>
  </si>
  <si>
    <t>New</t>
  </si>
  <si>
    <t>Recoveries</t>
  </si>
  <si>
    <r>
      <t>Number of Contracts</t>
    </r>
    <r>
      <rPr>
        <sz val="10"/>
        <color rgb="FF80B0C8"/>
        <rFont val="Arial"/>
        <family val="2"/>
      </rPr>
      <t>2</t>
    </r>
  </si>
  <si>
    <r>
      <t>Number of Contracts</t>
    </r>
    <r>
      <rPr>
        <sz val="10"/>
        <color rgb="FF80B0C8"/>
        <rFont val="Arial"/>
        <family val="2"/>
      </rPr>
      <t>4</t>
    </r>
  </si>
  <si>
    <r>
      <t>Number of Contracts</t>
    </r>
    <r>
      <rPr>
        <sz val="10"/>
        <color rgb="FF80B0C8"/>
        <rFont val="Arial"/>
        <family val="2"/>
      </rPr>
      <t>7</t>
    </r>
  </si>
  <si>
    <r>
      <t>Number of Contracts</t>
    </r>
    <r>
      <rPr>
        <sz val="10"/>
        <color rgb="FF80B0C8"/>
        <rFont val="Arial"/>
        <family val="2"/>
      </rPr>
      <t>8</t>
    </r>
  </si>
  <si>
    <r>
      <t>Number of Contracts</t>
    </r>
    <r>
      <rPr>
        <sz val="10"/>
        <color rgb="FF80B0C8"/>
        <rFont val="Arial"/>
        <family val="2"/>
      </rPr>
      <t>9</t>
    </r>
  </si>
  <si>
    <t>Percentage of Current Outstanding Discounted Portfolio</t>
  </si>
  <si>
    <t>Min. Percentage of Outstanding Discounted Portfolio</t>
  </si>
  <si>
    <t>Legal maturity date</t>
  </si>
  <si>
    <t>Volkswagen Leasing GmbH
ABS Operations
Käferweg, 4 Building E
38112 Braunschweig
Federal Republic of Germany</t>
  </si>
  <si>
    <t>Outstanding Discounted Balance</t>
  </si>
  <si>
    <t>Sub-Total VW</t>
  </si>
  <si>
    <t>Sub-Total Audi</t>
  </si>
  <si>
    <t>Corporate Service Provider:</t>
  </si>
  <si>
    <t>Wilmington Trust SP Services
(Luxembourg) S.A.
52-54 avenue du X Septembre
L-2550 Luxembourg
Luxembourg
email: VCL@WilmingtonTrust.com
Fax: (+352) 2645 9628
Tel.: (+352) 2602 491</t>
  </si>
  <si>
    <t>VCL Multi-Compartment S.A.
acting on behalf of its Compartment VCL 17
52-54 avenue du X Septembre
L-2550 Luxembourg
Luxembourg
Tel.: +35 (2) 2602 491
Fax: +35 (2) 2645 9628</t>
  </si>
  <si>
    <t>Invoices</t>
  </si>
  <si>
    <t>Stable</t>
  </si>
  <si>
    <t>Banco Volkswagen S.A.</t>
  </si>
  <si>
    <t>Asset Manager:</t>
  </si>
  <si>
    <t>BRAM - Bradesco Asset Management S.A. D.T.V.M
Avenida Paulista 1450, 6º andar 
Zip Code: 01310-917
São Paulo - Brazil
phone: +55 11 2178 6600
bemdtvm@bradesco.com.br</t>
  </si>
  <si>
    <t>August 2016</t>
  </si>
  <si>
    <t>Outstanding Discounted Principal Balance</t>
  </si>
  <si>
    <t>Percentage Outstanding Discounted Principal Balance</t>
  </si>
  <si>
    <t>Individuals</t>
  </si>
  <si>
    <t>Companies</t>
  </si>
  <si>
    <t>BEM DISTRIBUIDORA DE TÍTULOS E VALORES MOBILIÁRIOS LTDA</t>
  </si>
  <si>
    <t>Cidade de Deus</t>
  </si>
  <si>
    <t>Bairro Vila Yara - 4º andar</t>
  </si>
  <si>
    <t>Brazil</t>
  </si>
  <si>
    <t>Administrator:</t>
  </si>
  <si>
    <t>BRAM - Bradesco Asset Management S.A. D.T.V.M</t>
  </si>
  <si>
    <t xml:space="preserve">Avenida Paulista 1450, 6º andar </t>
  </si>
  <si>
    <t>Zip Code: 01310-917</t>
  </si>
  <si>
    <t>São Paulo - Brazil</t>
  </si>
  <si>
    <t>phone: +55 11 2178 6600</t>
  </si>
  <si>
    <t>Custodian Bank:</t>
  </si>
  <si>
    <t>Banco Bradesco S.A.</t>
  </si>
  <si>
    <t>Collection Agent:</t>
  </si>
  <si>
    <t>Treasury - ABS Operations</t>
  </si>
  <si>
    <t>Rua Volkswagen, 291</t>
  </si>
  <si>
    <t>São Paulo</t>
  </si>
  <si>
    <t>CETIP S.A. - Mercados Organizados</t>
  </si>
  <si>
    <t>Av. Brigadeiro Faria Lima, 1663, 1º andar</t>
  </si>
  <si>
    <t>Jardim Paulistano São Paulo - SP</t>
  </si>
  <si>
    <t>CEP: 01452-001 </t>
  </si>
  <si>
    <t>phone: +55 11 4152 9370</t>
  </si>
  <si>
    <t>Clearing System:</t>
  </si>
  <si>
    <t>São Paulo - SP</t>
  </si>
  <si>
    <t>Rating Agencies</t>
  </si>
  <si>
    <t>Moody´s América Latina Ltda.</t>
  </si>
  <si>
    <t>Avenida Nações Unidas, 12551 16º andar</t>
  </si>
  <si>
    <t>04578-903 São Paulo</t>
  </si>
  <si>
    <t>Write Off</t>
  </si>
  <si>
    <t>Renegotiation</t>
  </si>
  <si>
    <t>Status</t>
  </si>
  <si>
    <t>Walk b/w BOP and EOP</t>
  </si>
  <si>
    <t>Column1</t>
  </si>
  <si>
    <t>Column2</t>
  </si>
  <si>
    <t>Outstanding Discounted Principal Balance2</t>
  </si>
  <si>
    <t>ABS Remaining Nominal</t>
  </si>
  <si>
    <t>DPB @ Pool-Cut</t>
  </si>
  <si>
    <t>Senior Tranche</t>
  </si>
  <si>
    <t>Mezanine Tranche</t>
  </si>
  <si>
    <t>Junior Tranche</t>
  </si>
  <si>
    <t>Required CCA (capital surplus)</t>
  </si>
  <si>
    <t>Daily CDI</t>
  </si>
  <si>
    <t>actual/252</t>
  </si>
  <si>
    <t>Column3</t>
  </si>
  <si>
    <t>Column4</t>
  </si>
  <si>
    <t>Column5</t>
  </si>
  <si>
    <t>Column6</t>
  </si>
  <si>
    <t>Custodian Bank</t>
  </si>
  <si>
    <t>Administrator</t>
  </si>
  <si>
    <t>Banco Bradesco</t>
  </si>
  <si>
    <t>BEM DTVM</t>
  </si>
  <si>
    <t>Aaa.br</t>
  </si>
  <si>
    <t>BR-1</t>
  </si>
  <si>
    <t>Rating</t>
  </si>
  <si>
    <t>Senior Quota</t>
  </si>
  <si>
    <t>Mezzanine Quota</t>
  </si>
  <si>
    <t>Subordinated Quota</t>
  </si>
  <si>
    <t>Discounted Principal Balance at Pool Cut Date</t>
  </si>
  <si>
    <t>Credit Enhancement @ Pool-Cut</t>
  </si>
  <si>
    <t>% of Discounted Principal Balance</t>
  </si>
  <si>
    <t>● The transaction starts with sequential amortisation and therefore initially only the Senior Quota will receive principal payments;</t>
  </si>
  <si>
    <t>1) Fees</t>
  </si>
  <si>
    <t>2) Net Swap Payments</t>
  </si>
  <si>
    <t>3) Interest Senior Quota</t>
  </si>
  <si>
    <t>4) Interest Mezzanine Quota</t>
  </si>
  <si>
    <t>5) Payment to Cash Collateral Account</t>
  </si>
  <si>
    <t>6) Redemption Senior Quota</t>
  </si>
  <si>
    <t>7) Redemption Mezzanine Quota</t>
  </si>
  <si>
    <t>8) Redemption Subordinated Quota</t>
  </si>
  <si>
    <t>9) Remaining Amount Due to Rounding</t>
  </si>
  <si>
    <t>Remaining Balance from Current Period</t>
  </si>
  <si>
    <t>from 1 - 14 days</t>
  </si>
  <si>
    <t>from 31 - 60 days</t>
  </si>
  <si>
    <t>from 61 - 90 days</t>
  </si>
  <si>
    <t>from 91 - 120 days</t>
  </si>
  <si>
    <t>from 121 - 150 days</t>
  </si>
  <si>
    <t>from 151 - 180 days</t>
  </si>
  <si>
    <t>from 181 - 360 days</t>
  </si>
  <si>
    <t>from 361 - 720 days</t>
  </si>
  <si>
    <t>More  than 720 days</t>
  </si>
  <si>
    <t>&gt; 10</t>
  </si>
  <si>
    <t>6 - 10</t>
  </si>
  <si>
    <t>2-3</t>
  </si>
  <si>
    <t>4-5</t>
  </si>
  <si>
    <t>Distribution by largest customers</t>
  </si>
  <si>
    <t>&lt;= 5000,00</t>
  </si>
  <si>
    <t>5000,01 &lt; 10000,00</t>
  </si>
  <si>
    <t>10000,01 &lt; 15000,00</t>
  </si>
  <si>
    <t>15000,01 &lt; 20000,00</t>
  </si>
  <si>
    <t>20000,01 &lt; 25000,00</t>
  </si>
  <si>
    <t>25000,01 &lt; 30000,00</t>
  </si>
  <si>
    <t>30000,01 &lt; 40000,00</t>
  </si>
  <si>
    <t>40000,01 &lt; 50000,00</t>
  </si>
  <si>
    <t>50000,01 &lt; 60000,00</t>
  </si>
  <si>
    <t>60000,01 &lt; 70000,00</t>
  </si>
  <si>
    <t>70000,01 &lt; 80000,00</t>
  </si>
  <si>
    <t xml:space="preserve"> &gt; 80000,00</t>
  </si>
  <si>
    <t>Distribution by Outstanding Disounted Principal Balance</t>
  </si>
  <si>
    <t>Distribution by Original Discounted Principal Balance</t>
  </si>
  <si>
    <t>&lt; = 5000,00</t>
  </si>
  <si>
    <t>Percentage of Discounted Principal Balance</t>
  </si>
  <si>
    <t>Minimum Outstanding Discounted Principal Balance</t>
  </si>
  <si>
    <t>Maximum Outstanding Discounted Principal Balance</t>
  </si>
  <si>
    <t>Average Outstanding Discounted Principal Balance</t>
  </si>
  <si>
    <t>Distribution by Original Term</t>
  </si>
  <si>
    <t>Distribution by Remaining Term</t>
  </si>
  <si>
    <t>01 - 12</t>
  </si>
  <si>
    <t>13 - 24</t>
  </si>
  <si>
    <t>25 - 36</t>
  </si>
  <si>
    <t>37 - 48</t>
  </si>
  <si>
    <t>49 - 60</t>
  </si>
  <si>
    <t>Minimum Remaining Term</t>
  </si>
  <si>
    <t>AUDI</t>
  </si>
  <si>
    <t>VW C&amp;L</t>
  </si>
  <si>
    <t>SEAT</t>
  </si>
  <si>
    <t>OTHER BRANDS</t>
  </si>
  <si>
    <t>Sub-Total Other Brands</t>
  </si>
  <si>
    <t>AC</t>
  </si>
  <si>
    <t>AL</t>
  </si>
  <si>
    <t>AM</t>
  </si>
  <si>
    <t>AP</t>
  </si>
  <si>
    <t>BA</t>
  </si>
  <si>
    <t>CE</t>
  </si>
  <si>
    <t>DF</t>
  </si>
  <si>
    <t>ES</t>
  </si>
  <si>
    <t>GO</t>
  </si>
  <si>
    <t>MA</t>
  </si>
  <si>
    <t>MG</t>
  </si>
  <si>
    <t>MS</t>
  </si>
  <si>
    <t>MT</t>
  </si>
  <si>
    <t>PA</t>
  </si>
  <si>
    <t>PB</t>
  </si>
  <si>
    <t>PE</t>
  </si>
  <si>
    <t>PI</t>
  </si>
  <si>
    <t>PR</t>
  </si>
  <si>
    <t>RJ</t>
  </si>
  <si>
    <t>RN</t>
  </si>
  <si>
    <t>RO</t>
  </si>
  <si>
    <t>RR</t>
  </si>
  <si>
    <t>RS</t>
  </si>
  <si>
    <t>SC</t>
  </si>
  <si>
    <t>SE</t>
  </si>
  <si>
    <t>SP</t>
  </si>
  <si>
    <t>TO</t>
  </si>
  <si>
    <t>Defaults and Perform. Trigger</t>
  </si>
  <si>
    <t>Cumulative Late Delinquency Ratio</t>
  </si>
  <si>
    <t>Level 1</t>
  </si>
  <si>
    <t>Level 2</t>
  </si>
  <si>
    <t>Discounted Principal Balance as of Pool-Cut Date</t>
  </si>
  <si>
    <t>Cumulative Late Delinquencies BOP</t>
  </si>
  <si>
    <t>Cumulative Late Delinquencies EOP</t>
  </si>
  <si>
    <t>Outstanding Discounted Principal Balance (in Arrears)</t>
  </si>
  <si>
    <t>Late Delinquencies</t>
  </si>
  <si>
    <t>Outstanding Discounted Principal Balance (at Late Delinquency)</t>
  </si>
  <si>
    <t>Delinquencies</t>
  </si>
  <si>
    <t>1 to 14</t>
  </si>
  <si>
    <t>15 to 30</t>
  </si>
  <si>
    <t>31 to 60</t>
  </si>
  <si>
    <t>61 to 90</t>
  </si>
  <si>
    <t>91 to 120</t>
  </si>
  <si>
    <t>121 to 150</t>
  </si>
  <si>
    <t>151 to 180</t>
  </si>
  <si>
    <t>181 to 360</t>
  </si>
  <si>
    <t>361 to 720</t>
  </si>
  <si>
    <t>&gt; 720</t>
  </si>
  <si>
    <t>bemdtvm@bradesco.com.br</t>
  </si>
  <si>
    <t>atendimento@cetip.com.br</t>
  </si>
  <si>
    <t>Total Portfolio</t>
  </si>
  <si>
    <t>Brand</t>
  </si>
  <si>
    <t>Geography</t>
  </si>
  <si>
    <t>Remaining</t>
  </si>
  <si>
    <t>Original</t>
  </si>
  <si>
    <t>Seasoning</t>
  </si>
  <si>
    <t>Orig</t>
  </si>
  <si>
    <t>Out</t>
  </si>
  <si>
    <t>Concentration</t>
  </si>
  <si>
    <t>Port Break</t>
  </si>
  <si>
    <t>Type of Customer at Pool Cut</t>
  </si>
  <si>
    <t>Glossary</t>
  </si>
  <si>
    <t>ABS Remaining Nominal:</t>
  </si>
  <si>
    <t>The sum of all installments of the portfolio (future + delinquent).</t>
  </si>
  <si>
    <t>Collections:</t>
  </si>
  <si>
    <t>Available Distribution Amount on each payment day as described in the Offering Circular.</t>
  </si>
  <si>
    <t>Delinquent contract:</t>
  </si>
  <si>
    <t>The outstanding value of a contract which is past due more than 1 day.</t>
  </si>
  <si>
    <t>Late Delinquency:</t>
  </si>
  <si>
    <t>Contracts in arrears for more than 180 days.</t>
  </si>
  <si>
    <t xml:space="preserve">Late Delinquency Ratio: </t>
  </si>
  <si>
    <t xml:space="preserve">Means, for any Payment Date a fraction, expressed as a percentage,
(a) the numerator of which is the sum of the Discounted Principal Balance of all Sold Eligible Credit Rights that have ever been overdue and unpaid in arrears for one hundred and eighty (180) or more days from the Purchase Date through the end of the preceding Monthly Period. The Discounted Principal Balance of each such Sold Eligible Credit Rights will be calculated at the end of the Monthly Period the Sold Eligible Credit Right becomes for the first time overdue and unpaid in arrears for one hundred and eighty (180) or more days. It is hereby understood that any payment of any overdue installment for one hundred and eighty (180) days or more will not affect the calculation of the Late Delinquency Ratio; 
(b) and the denominator of which is the aggregate Discounted Principal Balance of Sold Eligible Credit Rights on the Purchase Date.
</t>
  </si>
  <si>
    <t xml:space="preserve">Original Maturity Date: </t>
  </si>
  <si>
    <t>Original maturity date of each quota as of the inception of the transaction (as of cut off date).</t>
  </si>
  <si>
    <t>Outstanding Discounted Principal Balance:</t>
  </si>
  <si>
    <t>Means with respect to a Sold Eligible Credit Right, the sum of the present value of all of its installments minus the sum of the present values of its installments that have been already paid as of the immediately preceding Monthly Period. For the purposes of calculating the Discounted Principal Balance, the installments will be discounted to the origination date of the Credit Right and at the Discount Rate, on the basis of one year of 360 (three hundred and sixty) days being equivalent to 12 (twelve) months, each month consisting of 30 (thirty) days.</t>
  </si>
  <si>
    <t>Pool-Cut:</t>
  </si>
  <si>
    <t>Present Value:</t>
  </si>
  <si>
    <t>Means the sum of the amounts of the Sold Eligible CreditRights, calculated at present value applying the Discount Rate.</t>
  </si>
  <si>
    <t>Recoveries:</t>
  </si>
  <si>
    <t>All money received after the Write Off of a contract.</t>
  </si>
  <si>
    <t>Swap:</t>
  </si>
  <si>
    <t>Means the interest rate swap operations performed by the Fund, as provided in the Interest Rate Swap Agreement, with the purpose of mitigating the potential mismatch between the fixed rate of its spot positions and the benchmark established for its class of quotas.</t>
  </si>
  <si>
    <r>
      <t>Outstanding Discounted Principal Balance</t>
    </r>
    <r>
      <rPr>
        <b/>
        <sz val="10"/>
        <color rgb="FF80B0C8"/>
        <rFont val="Arial"/>
        <family val="2"/>
      </rPr>
      <t>3</t>
    </r>
  </si>
  <si>
    <r>
      <t>Outstanding Discounted Principal Balance</t>
    </r>
    <r>
      <rPr>
        <sz val="10"/>
        <color rgb="FF80B0C8"/>
        <rFont val="Arial"/>
        <family val="2"/>
      </rPr>
      <t>3</t>
    </r>
  </si>
  <si>
    <r>
      <t>Outstanding Discounted Principal Balance</t>
    </r>
    <r>
      <rPr>
        <sz val="10"/>
        <color rgb="FF80B0C8"/>
        <rFont val="Arial"/>
        <family val="2"/>
      </rPr>
      <t>2</t>
    </r>
  </si>
  <si>
    <r>
      <t>Outstanding Discounted Principal Balance</t>
    </r>
    <r>
      <rPr>
        <sz val="10"/>
        <color rgb="FF80B0C8"/>
        <rFont val="Arial"/>
        <family val="2"/>
      </rPr>
      <t>4</t>
    </r>
  </si>
  <si>
    <t>Oustanding Discounted Principal Balance</t>
  </si>
  <si>
    <r>
      <t>Outstanding Discounted Principal Balance</t>
    </r>
    <r>
      <rPr>
        <b/>
        <sz val="10"/>
        <color rgb="FF80B0C8"/>
        <rFont val="Arial"/>
        <family val="2"/>
      </rPr>
      <t>6</t>
    </r>
  </si>
  <si>
    <r>
      <t>Outstanding Discounted Principal Balance</t>
    </r>
    <r>
      <rPr>
        <b/>
        <sz val="10"/>
        <color rgb="FF80B0C8"/>
        <rFont val="Arial"/>
        <family val="2"/>
      </rPr>
      <t>8</t>
    </r>
  </si>
  <si>
    <r>
      <t>Outstanding Discounted Principal Balance</t>
    </r>
    <r>
      <rPr>
        <b/>
        <sz val="10"/>
        <color rgb="FF80B0C8"/>
        <rFont val="Arial"/>
        <family val="2"/>
      </rPr>
      <t>10</t>
    </r>
  </si>
  <si>
    <r>
      <t>Outstanding Discounted Principal Balance</t>
    </r>
    <r>
      <rPr>
        <b/>
        <sz val="10"/>
        <color rgb="FF80B0C8"/>
        <rFont val="Arial"/>
        <family val="2"/>
      </rPr>
      <t>32</t>
    </r>
  </si>
  <si>
    <r>
      <t>Outstanding Discounted Principal Balance</t>
    </r>
    <r>
      <rPr>
        <b/>
        <sz val="10"/>
        <color rgb="FF80B0C8"/>
        <rFont val="Arial"/>
        <family val="2"/>
      </rPr>
      <t>33</t>
    </r>
  </si>
  <si>
    <t>Delinquency Profile</t>
  </si>
  <si>
    <t>Monthly CDI</t>
  </si>
  <si>
    <t>Total Portfolio as of Beginning of Period</t>
  </si>
  <si>
    <t>Index Rate as of Month End</t>
  </si>
  <si>
    <t>Note Balance as of Beginning of Period</t>
  </si>
  <si>
    <t>Note Balance as of End of Period</t>
  </si>
  <si>
    <t>Beginning of Period</t>
  </si>
  <si>
    <t>End of Period</t>
  </si>
  <si>
    <t>Total Portfolio as of End of Period</t>
  </si>
  <si>
    <t>Minimum Original Nominal Balance</t>
  </si>
  <si>
    <t>Maximum Original Nominal Balance</t>
  </si>
  <si>
    <t>Average Original Nominal Balance</t>
  </si>
  <si>
    <t>Minimum Original Term</t>
  </si>
  <si>
    <t>Maximum Original Term</t>
  </si>
  <si>
    <t>Weighted Average Original Term</t>
  </si>
  <si>
    <t>from 15 - 30 days</t>
  </si>
  <si>
    <t>Amortisation Profile I*</t>
  </si>
  <si>
    <t>Payments to Investors (per note)</t>
  </si>
  <si>
    <t>Principal Amortization</t>
  </si>
  <si>
    <t>Distribution by Contract Concentration</t>
  </si>
  <si>
    <t>Data</t>
  </si>
  <si>
    <t>Dia da Semana</t>
  </si>
  <si>
    <t>Feriado</t>
  </si>
  <si>
    <t>segunda-feira</t>
  </si>
  <si>
    <t>Confraternização Universal</t>
  </si>
  <si>
    <t>Carnaval</t>
  </si>
  <si>
    <t>terça-feira</t>
  </si>
  <si>
    <t>sexta-feira</t>
  </si>
  <si>
    <t>Paixão de Cristo</t>
  </si>
  <si>
    <t>sábado</t>
  </si>
  <si>
    <t>Tiradentes</t>
  </si>
  <si>
    <t>Dia do Trabalho</t>
  </si>
  <si>
    <t>quinta-feira</t>
  </si>
  <si>
    <t>Corpus Christi</t>
  </si>
  <si>
    <t>Independência do Brasil</t>
  </si>
  <si>
    <r>
      <t>Nossa Sr.</t>
    </r>
    <r>
      <rPr>
        <vertAlign val="superscript"/>
        <sz val="9"/>
        <color indexed="8"/>
        <rFont val="Arial"/>
        <family val="2"/>
      </rPr>
      <t>a</t>
    </r>
    <r>
      <rPr>
        <sz val="9"/>
        <color indexed="8"/>
        <rFont val="Arial"/>
        <family val="2"/>
      </rPr>
      <t xml:space="preserve"> Aparecida - Padroeira do Brasil</t>
    </r>
  </si>
  <si>
    <t>Finados</t>
  </si>
  <si>
    <t>Proclamação da República</t>
  </si>
  <si>
    <t>Natal</t>
  </si>
  <si>
    <t>domingo</t>
  </si>
  <si>
    <t>quarta-feira</t>
  </si>
  <si>
    <t>Fonte: ANDIMA</t>
  </si>
  <si>
    <t>1) De acordo com a Resolução n º 2.516, a partir do ano 2000, a quinta-feira da Semana Santa foi considerada dia útil. Esta mesma Resolução dispensou as instituições financeiras do cumprimento do horário mínimo de funcionamento, desde que informem ao público.</t>
  </si>
  <si>
    <t>2) A lei nº 9.504/97 estabeleceu que, em ano eleitoral, o 1º turno das eleições será realizado no primeiro domingo de outubro; e o 2º turno, quando houver, no último domingo do referido mês.</t>
  </si>
  <si>
    <t>3) De acordo com a Resolução nº 2.596/99, no último dia útil do ano não haverá atendimento ao público.</t>
  </si>
  <si>
    <t>4) Esta listagem não inclui os feriados municipais, eleições e o último dia do ano. O critério adotado foi o de indicar os feriados em que não há sensibilização das Reservas Bancárias.</t>
  </si>
  <si>
    <t>Cumulative Late Delinquency as percentage of DPB at Pool-Cut</t>
  </si>
  <si>
    <t>Relevant Pool-Cut Data</t>
  </si>
  <si>
    <t>Outstanding Nominal Balance</t>
  </si>
  <si>
    <t>(+) 
Outstanding Nominal Balance at Day of Write Off</t>
  </si>
  <si>
    <t>(-) 
Prior Transactions/ Negotiations</t>
  </si>
  <si>
    <t>(-)
Recoveries 
for Current Period</t>
  </si>
  <si>
    <t>(-) 
Discounts for 
Current Period</t>
  </si>
  <si>
    <t>(=) 
Current Outstanding Nominal Balance</t>
  </si>
  <si>
    <t>OTHER VW</t>
  </si>
  <si>
    <t>Pool Data VI</t>
  </si>
  <si>
    <t>Other</t>
  </si>
  <si>
    <t>EA189 Engine</t>
  </si>
  <si>
    <t>EA189 Engine status</t>
  </si>
  <si>
    <t>AMAROK</t>
  </si>
  <si>
    <t>BORA</t>
  </si>
  <si>
    <t>CROSSFOX</t>
  </si>
  <si>
    <t>FOX</t>
  </si>
  <si>
    <t>GOL</t>
  </si>
  <si>
    <t>GOLF</t>
  </si>
  <si>
    <t>JETTA</t>
  </si>
  <si>
    <t>KOMBI</t>
  </si>
  <si>
    <t>PARATI</t>
  </si>
  <si>
    <t>PASSAT</t>
  </si>
  <si>
    <t>POLO</t>
  </si>
  <si>
    <t>POLO SEDAN</t>
  </si>
  <si>
    <t>SAVEIRO</t>
  </si>
  <si>
    <t>SPACECROSS</t>
  </si>
  <si>
    <t>SPACEFOX</t>
  </si>
  <si>
    <t>TIGUAN</t>
  </si>
  <si>
    <t>TOUAREG</t>
  </si>
  <si>
    <t>UP</t>
  </si>
  <si>
    <t>VOYAGE</t>
  </si>
  <si>
    <t>A3</t>
  </si>
  <si>
    <t>A4</t>
  </si>
  <si>
    <t>A5</t>
  </si>
  <si>
    <t>Q3</t>
  </si>
  <si>
    <r>
      <t>Number of Contracts</t>
    </r>
    <r>
      <rPr>
        <b/>
        <sz val="10"/>
        <color rgb="FF004666"/>
        <rFont val="Arial"/>
        <family val="2"/>
      </rPr>
      <t>2</t>
    </r>
  </si>
  <si>
    <r>
      <t>Outstanding Discounted Principal Balance</t>
    </r>
    <r>
      <rPr>
        <b/>
        <sz val="10"/>
        <color rgb="FF004666"/>
        <rFont val="Arial"/>
        <family val="2"/>
      </rPr>
      <t>5</t>
    </r>
  </si>
  <si>
    <r>
      <t>Number of Contracts</t>
    </r>
    <r>
      <rPr>
        <b/>
        <sz val="10"/>
        <color rgb="FF004666"/>
        <rFont val="Arial"/>
        <family val="2"/>
      </rPr>
      <t>3#</t>
    </r>
  </si>
  <si>
    <r>
      <t>Outstanding Discounted Principal Balance</t>
    </r>
    <r>
      <rPr>
        <b/>
        <sz val="10"/>
        <color rgb="FF004666"/>
        <rFont val="Arial"/>
        <family val="2"/>
      </rPr>
      <t>2</t>
    </r>
  </si>
  <si>
    <r>
      <t>Number of Contracts</t>
    </r>
    <r>
      <rPr>
        <b/>
        <sz val="10"/>
        <color rgb="FF004666"/>
        <rFont val="Arial"/>
        <family val="2"/>
      </rPr>
      <t>7</t>
    </r>
  </si>
  <si>
    <r>
      <t>Outstanding Discounted Principal Balance</t>
    </r>
    <r>
      <rPr>
        <b/>
        <sz val="10"/>
        <color rgb="FF004666"/>
        <rFont val="Arial"/>
        <family val="2"/>
      </rPr>
      <t>3</t>
    </r>
  </si>
  <si>
    <r>
      <t>Number of Contracts</t>
    </r>
    <r>
      <rPr>
        <b/>
        <sz val="10"/>
        <color rgb="FF004666"/>
        <rFont val="Arial"/>
        <family val="2"/>
      </rPr>
      <t>9</t>
    </r>
  </si>
  <si>
    <r>
      <t>Outstanding Discounted Principal Balance</t>
    </r>
    <r>
      <rPr>
        <b/>
        <sz val="10"/>
        <color rgb="FF004666"/>
        <rFont val="Arial"/>
        <family val="2"/>
      </rPr>
      <t>4</t>
    </r>
  </si>
  <si>
    <t>AAA(bra)</t>
  </si>
  <si>
    <t>Osasco - São Paulo - Brazil</t>
  </si>
  <si>
    <t>phone: +55 11 3684 4522</t>
  </si>
  <si>
    <t xml:space="preserve">http://www.bradescobemdtvm.com.br/ </t>
  </si>
  <si>
    <t>Bairro Vila Yara - 2º andar</t>
  </si>
  <si>
    <t>phone: 3684 9431</t>
  </si>
  <si>
    <t>www.bradescocustodia.com.br</t>
  </si>
  <si>
    <t>phone: +55 11 3043 7305</t>
  </si>
  <si>
    <t>www.moodys.com.br</t>
  </si>
  <si>
    <t>Fitch Ratings Brasil Ltda.</t>
  </si>
  <si>
    <t>Alameda Santos, 700 7° andar</t>
  </si>
  <si>
    <t>01418-100 São Paulo</t>
  </si>
  <si>
    <t>phone: +55 11 4504 2200</t>
  </si>
  <si>
    <t>juliana.ayoub@fitchratings.com</t>
  </si>
  <si>
    <t>www.fitchratings.com.br</t>
  </si>
  <si>
    <t>Level 2 Credit Enhancement Increase Condition - Cumulative Late Delinquencies do not  amount to 5.0% for any Payment Date</t>
  </si>
  <si>
    <t>Fitch</t>
  </si>
  <si>
    <t>AAA (bra)</t>
  </si>
  <si>
    <t>Fitch Ratings</t>
  </si>
  <si>
    <t>NEW BEETLE</t>
  </si>
  <si>
    <t>Q5</t>
  </si>
  <si>
    <t>Q7</t>
  </si>
  <si>
    <t>TT</t>
  </si>
  <si>
    <t>S3</t>
  </si>
  <si>
    <t>61 - 72</t>
  </si>
  <si>
    <t>Amount of Delinquent Receivables</t>
  </si>
  <si>
    <r>
      <t>Amount of Delinquent Receivables</t>
    </r>
    <r>
      <rPr>
        <sz val="10"/>
        <color rgb="FF80B0C8"/>
        <rFont val="Arial"/>
        <family val="2"/>
      </rPr>
      <t>2</t>
    </r>
  </si>
  <si>
    <r>
      <t>Outstanding Discounted Principal Balance</t>
    </r>
    <r>
      <rPr>
        <sz val="10"/>
        <color rgb="FF80B0C8"/>
        <rFont val="Arial"/>
        <family val="2"/>
      </rPr>
      <t>23</t>
    </r>
  </si>
  <si>
    <r>
      <t>Amount of Delinquent Receivables</t>
    </r>
    <r>
      <rPr>
        <sz val="10"/>
        <color rgb="FF80B0C8"/>
        <rFont val="Arial"/>
        <family val="2"/>
      </rPr>
      <t>3</t>
    </r>
  </si>
  <si>
    <r>
      <t>Outstanding Discounted Principal Balance</t>
    </r>
    <r>
      <rPr>
        <sz val="10"/>
        <color rgb="FF80B0C8"/>
        <rFont val="Arial"/>
        <family val="2"/>
      </rPr>
      <t>24</t>
    </r>
  </si>
  <si>
    <r>
      <t>Amount of Delinquent Receivables</t>
    </r>
    <r>
      <rPr>
        <sz val="10"/>
        <color rgb="FF80B0C8"/>
        <rFont val="Arial"/>
        <family val="2"/>
      </rPr>
      <t>32</t>
    </r>
  </si>
  <si>
    <r>
      <t>Outstanding Discounted Principal Balance</t>
    </r>
    <r>
      <rPr>
        <sz val="10"/>
        <color rgb="FF80B0C8"/>
        <rFont val="Arial"/>
        <family val="2"/>
      </rPr>
      <t>242</t>
    </r>
  </si>
  <si>
    <r>
      <t>Outstanding Discounted Principal Balance</t>
    </r>
    <r>
      <rPr>
        <sz val="10"/>
        <color rgb="FF004666"/>
        <rFont val="Arial"/>
        <family val="2"/>
      </rPr>
      <t>2</t>
    </r>
  </si>
  <si>
    <t>Aa1.br</t>
  </si>
  <si>
    <t>Itaú Unibanco</t>
  </si>
  <si>
    <t>Driver Brasil Four</t>
  </si>
  <si>
    <r>
      <t xml:space="preserve">DRIVER Brasil FOUR Banco Volkswagen Fundo de Investimento em Direitos Creditórios Financiamento de Veículos
</t>
    </r>
    <r>
      <rPr>
        <sz val="12"/>
        <color theme="1"/>
        <rFont val="Arial"/>
        <family val="2"/>
      </rPr>
      <t>Nucleo Cidade de Deus, Predio Prata 4º andar 
Zip Code: 06029-900
Osasco - São Paulo - Brazil</t>
    </r>
    <r>
      <rPr>
        <b/>
        <sz val="12"/>
        <color theme="1"/>
        <rFont val="Arial"/>
        <family val="2"/>
      </rPr>
      <t xml:space="preserve">
</t>
    </r>
  </si>
  <si>
    <t xml:space="preserve">Banco Volkswagen S.A.
Treasury - ABS Operations
Rua Volkswagen, 291 - 4º andar
São Paulo
Brasil
</t>
  </si>
  <si>
    <t>Phone: + 55 11 5582 5591</t>
  </si>
  <si>
    <t>Avenida Brigadeiro Faria Lima, 3500</t>
  </si>
  <si>
    <t>Bairro Itaim Bibi</t>
  </si>
  <si>
    <t>www.itau.com.br</t>
  </si>
  <si>
    <t>phone: +55 11 3708 8601</t>
  </si>
  <si>
    <t>ely.mizrahi@moodys.com</t>
  </si>
  <si>
    <t>Level 1a Credit Enhancement Increase Condition - Cumulative Late Delinquencies do not amount to 1.5% for any Payment Date before and incp. 07/2020</t>
  </si>
  <si>
    <t>Level 1b Credit Enhancement Increase Condition -Cumulative Late Delinquencies do not amount to 3.5% for any Payment Date between 08/2020 and incp. 07/2021</t>
  </si>
  <si>
    <t>BR0012CTF007</t>
  </si>
  <si>
    <t>&gt; 70000,00</t>
  </si>
  <si>
    <r>
      <t xml:space="preserve"> </t>
    </r>
    <r>
      <rPr>
        <vertAlign val="superscript"/>
        <sz val="10"/>
        <rFont val="Arial"/>
        <family val="2"/>
      </rPr>
      <t>+</t>
    </r>
    <r>
      <rPr>
        <sz val="10"/>
        <rFont val="Arial"/>
        <family val="2"/>
      </rPr>
      <t>Based on the following assumptions: CPR of 15%, Net Losses at 2,50%</t>
    </r>
  </si>
  <si>
    <t>Banco Volkswagen S.A. will have the right at its option to exercise a Clean-Up Call and to repurchase the Loan Receivables from Driver Brasil Four when the sum of the Discounted Principal Balance for all loan contracts is less than 10 per cent. of the sum of the Discounted Principal Balance for all Loan contracts as of the Cut Off Date, provided that all payment obligations under the Quotas will be thereby fulfilled.</t>
  </si>
  <si>
    <t>FUSCA</t>
  </si>
  <si>
    <t>VIRTUS</t>
  </si>
  <si>
    <t>OTHER AUDI</t>
  </si>
  <si>
    <t>RS3</t>
  </si>
  <si>
    <t>RS6</t>
  </si>
  <si>
    <t>A6</t>
  </si>
  <si>
    <t>106,25% of CDI</t>
  </si>
  <si>
    <t>July 2024</t>
  </si>
  <si>
    <t>Present Value of the portfolio as of 07/10/2019 (considering the discount rate used for the deal and the 360-day convention).</t>
  </si>
  <si>
    <t>● The Senior Quota benefits from the Subordinated Quotas and the Cash Collateral Account;</t>
  </si>
  <si>
    <t>● The transaction switches into pro rata amortisation once an overcollateralisation percentage (i.e. credit enhancement excluding cash collateral) of OC-Percentage for the Senior Quota has been reached.</t>
  </si>
  <si>
    <t>Itaú Unibanco S.A.</t>
  </si>
  <si>
    <t xml:space="preserve">Phone: +55 11 5582 5591
Email: TESOU-ABS@vwfs.com
</t>
  </si>
  <si>
    <t>TESOU-ABS@vwfs.com</t>
  </si>
  <si>
    <t>Repurchased contract</t>
  </si>
  <si>
    <t>1 contract</t>
  </si>
  <si>
    <t>2 contracts</t>
  </si>
  <si>
    <t>3 contracts</t>
  </si>
  <si>
    <t>4 contracts</t>
  </si>
  <si>
    <t>5 contracts</t>
  </si>
  <si>
    <t>6 - 10 contracts</t>
  </si>
  <si>
    <t>&gt; 10 contracts</t>
  </si>
  <si>
    <t>80000,01 &lt; 90000,00</t>
  </si>
  <si>
    <t>90000,01 &lt; 100000,00</t>
  </si>
  <si>
    <t>&gt; 100000,00</t>
  </si>
  <si>
    <t>from 0</t>
  </si>
  <si>
    <t>Not assigned</t>
  </si>
  <si>
    <t>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</si>
</sst>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4" formatCode="_-&quot;R$&quot;* #,##0.00_-;\-&quot;R$&quot;* #,##0.00_-;_-&quot;R$&quot;* &quot;-&quot;??_-;_-@_-"/>
    <numFmt numFmtId="164" formatCode="_-&quot;R$&quot;\ * #,##0.00_-;\-&quot;R$&quot;\ * #,##0.00_-;_-&quot;R$&quot;\ * &quot;-&quot;??_-;_-@_-"/>
    <numFmt numFmtId="165" formatCode="_(* #,##0.00_);_(* \(#,##0.00\);_(* &quot;-&quot;??_);_(@_)"/>
    <numFmt numFmtId="166" formatCode="_(&quot;R$ &quot;* #,##0.00_);_(&quot;R$ &quot;* \(#,##0.00\);_(&quot;R$ &quot;* &quot;-&quot;??_);_(@_)"/>
    <numFmt numFmtId="167" formatCode="#,##0.00\ &quot;€&quot;;\-#,##0.00\ &quot;€&quot;"/>
    <numFmt numFmtId="168" formatCode="#,##0.00\ &quot;€&quot;;[Red]\-#,##0.00\ &quot;€&quot;"/>
    <numFmt numFmtId="169" formatCode="_-* #,##0.00\ &quot;€&quot;_-;\-* #,##0.00\ &quot;€&quot;_-;_-* &quot;-&quot;??\ &quot;€&quot;_-;_-@_-"/>
    <numFmt numFmtId="170" formatCode="_(&quot;€&quot;* #,##0.00_);_(&quot;€&quot;* \(#,##0.00\);_(&quot;€&quot;* &quot;-&quot;??_);_(@_)"/>
    <numFmt numFmtId="171" formatCode="&quot;€&quot;#,##0.00_);\(&quot;€&quot;#,##0.00\)"/>
    <numFmt numFmtId="172" formatCode="[$-407]mmmm\ yy;@"/>
    <numFmt numFmtId="173" formatCode="0.0000%"/>
    <numFmt numFmtId="174" formatCode="0.000%"/>
    <numFmt numFmtId="175" formatCode="0.00000%"/>
    <numFmt numFmtId="176" formatCode="General_)"/>
    <numFmt numFmtId="177" formatCode="#,##0.0\x_);\(#,##0.0\x\);#,##0.0\x_);@_)"/>
    <numFmt numFmtId="178" formatCode="#,##0.0\%_);\(#,##0.0\%\);#,##0.0\%_);@_)"/>
    <numFmt numFmtId="179" formatCode="#,##0.00\ &quot;€&quot;"/>
    <numFmt numFmtId="180" formatCode="[$-409]mmmm\ yy;@"/>
    <numFmt numFmtId="181" formatCode="mm/yyyy"/>
    <numFmt numFmtId="182" formatCode="General\ &quot; adad&quot;"/>
    <numFmt numFmtId="183" formatCode="_(* #,##0_);_(* \(#,##0\);_(* &quot;-&quot;??_);_(@_)"/>
    <numFmt numFmtId="184" formatCode="_-* #,##0.00\ [$€-1]_-;\-* #,##0.00\ [$€-1]_-;_-* &quot;-&quot;??\ [$€-1]_-"/>
    <numFmt numFmtId="185" formatCode="mmmm\ yyyy"/>
    <numFmt numFmtId="186" formatCode="mmm\ yyyy"/>
    <numFmt numFmtId="187" formatCode="#,##0_ ;[Red]\-#,##0\ "/>
    <numFmt numFmtId="188" formatCode="#,##0_ ;\-#,##0\ "/>
    <numFmt numFmtId="189" formatCode="_-* #,##0.00\ _€_-;\-* #,##0.00\ _€_-;_-* &quot;-&quot;??\ _€_-;_-@_-"/>
    <numFmt numFmtId="190" formatCode="_-* #,##0.000000000\ [$€-1]_-;\-* #,##0.000000000\ [$€-1]_-;_-* &quot;-&quot;?????????\ [$€-1]_-;_-@_-"/>
    <numFmt numFmtId="191" formatCode="_([$R$ -416]* #,##0.00_);_([$R$ -416]* \(#,##0.00\);_([$R$ -416]* &quot;-&quot;??_);_(@_)"/>
    <numFmt numFmtId="192" formatCode="0.0"/>
    <numFmt numFmtId="193" formatCode="[$-416]mmm\-yy;@"/>
    <numFmt numFmtId="194" formatCode="0.0%"/>
    <numFmt numFmtId="195" formatCode="_-[$R$-416]\ * #,##0.00_-;\-[$R$-416]\ * #,##0.00_-;_-[$R$-416]\ * &quot;-&quot;??_-;_-@_-"/>
    <numFmt numFmtId="196" formatCode="_-[$R$-416]* #,##0.00_-;\-[$R$-416]* #,##0.00_-;_-[$R$-416]* &quot;-&quot;??_-;_-@_-"/>
    <numFmt numFmtId="197" formatCode="_-[$R$-416]* #,##0_-;\-[$R$-416]* #,##0_-;_-[$R$-416]* &quot;-&quot;??_-;_-@_-"/>
    <numFmt numFmtId="198" formatCode="_-* #,##0_-;\-* #,##0_-;_-* &quot;-&quot;??_-;_-@_-"/>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sz val="9"/>
      <color theme="0"/>
      <name val="Arial"/>
      <family val="2"/>
    </font>
    <font>
      <sz val="6"/>
      <name val="Arial"/>
      <family val="2"/>
    </font>
    <font>
      <sz val="18"/>
      <name val="Times New Roman"/>
      <family val="1"/>
    </font>
    <font>
      <b/>
      <sz val="13"/>
      <name val="Times New Roman"/>
      <family val="1"/>
    </font>
    <font>
      <b/>
      <i/>
      <sz val="12"/>
      <name val="Times New Roman"/>
      <family val="1"/>
    </font>
    <font>
      <i/>
      <sz val="12"/>
      <name val="Times New Roman"/>
      <family val="1"/>
    </font>
    <font>
      <b/>
      <sz val="8"/>
      <color theme="0" tint="-0.249977111117893"/>
      <name val="Arial"/>
      <family val="2"/>
    </font>
    <font>
      <sz val="10"/>
      <color theme="0"/>
      <name val="Arial"/>
      <family val="2"/>
    </font>
    <font>
      <sz val="10"/>
      <color rgb="FFFF0000"/>
      <name val="Arial"/>
      <family val="2"/>
    </font>
    <font>
      <sz val="8.5"/>
      <name val="Arial"/>
      <family val="2"/>
    </font>
    <font>
      <i/>
      <sz val="8.5"/>
      <name val="Arial"/>
      <family val="2"/>
    </font>
    <font>
      <b/>
      <sz val="9"/>
      <color theme="0" tint="-0.249977111117893"/>
      <name val="Arial"/>
      <family val="2"/>
    </font>
    <font>
      <b/>
      <sz val="9"/>
      <color theme="0"/>
      <name val="Arial"/>
      <family val="2"/>
    </font>
    <font>
      <b/>
      <i/>
      <sz val="9"/>
      <color theme="5" tint="-0.249977111117893"/>
      <name val="Arial"/>
      <family val="2"/>
    </font>
    <font>
      <b/>
      <u/>
      <sz val="11"/>
      <color indexed="18"/>
      <name val="Arial"/>
      <family val="2"/>
    </font>
    <font>
      <b/>
      <i/>
      <sz val="8"/>
      <color theme="5" tint="-0.249977111117893"/>
      <name val="Arial"/>
      <family val="2"/>
    </font>
    <font>
      <b/>
      <sz val="12"/>
      <color rgb="FFFF0000"/>
      <name val="Arial"/>
      <family val="2"/>
    </font>
    <font>
      <b/>
      <sz val="11"/>
      <color theme="0"/>
      <name val="Calibri"/>
      <family val="2"/>
      <scheme val="minor"/>
    </font>
    <font>
      <sz val="11"/>
      <color theme="0"/>
      <name val="Calibri"/>
      <family val="2"/>
      <scheme val="minor"/>
    </font>
    <font>
      <sz val="10"/>
      <name val="Verdana"/>
      <family val="2"/>
    </font>
    <font>
      <sz val="11"/>
      <name val="Calibri"/>
      <family val="2"/>
      <scheme val="minor"/>
    </font>
    <font>
      <b/>
      <sz val="10"/>
      <name val="Calibri"/>
      <family val="2"/>
      <scheme val="minor"/>
    </font>
    <font>
      <sz val="10"/>
      <name val="Calibri"/>
      <family val="2"/>
      <scheme val="minor"/>
    </font>
    <font>
      <b/>
      <sz val="10"/>
      <color theme="0"/>
      <name val="Arial"/>
      <family val="2"/>
    </font>
    <font>
      <b/>
      <sz val="12"/>
      <color theme="0"/>
      <name val="Arial"/>
      <family val="2"/>
    </font>
    <font>
      <b/>
      <sz val="10"/>
      <color theme="0"/>
      <name val="Calibri"/>
      <family val="2"/>
      <scheme val="minor"/>
    </font>
    <font>
      <sz val="10"/>
      <color theme="0"/>
      <name val="Calibri"/>
      <family val="2"/>
      <scheme val="minor"/>
    </font>
    <font>
      <sz val="8"/>
      <color indexed="81"/>
      <name val="Tahoma"/>
      <family val="2"/>
    </font>
    <font>
      <sz val="12"/>
      <color theme="0"/>
      <name val="Arial"/>
      <family val="2"/>
    </font>
    <font>
      <sz val="10"/>
      <color rgb="FF004666"/>
      <name val="Arial"/>
      <family val="2"/>
    </font>
    <font>
      <b/>
      <sz val="10"/>
      <color rgb="FF004666"/>
      <name val="Arial"/>
      <family val="2"/>
    </font>
    <font>
      <sz val="10"/>
      <color theme="1"/>
      <name val="Arial"/>
      <family val="2"/>
    </font>
    <font>
      <u/>
      <sz val="10"/>
      <color theme="0"/>
      <name val="Arial"/>
      <family val="2"/>
    </font>
    <font>
      <vertAlign val="superscript"/>
      <sz val="10"/>
      <name val="Arial"/>
      <family val="2"/>
    </font>
    <font>
      <sz val="9"/>
      <color rgb="FF004666"/>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sz val="10"/>
      <color rgb="FF80B0C8"/>
      <name val="Arial"/>
      <family val="2"/>
    </font>
    <font>
      <sz val="10"/>
      <color rgb="FF80B0C8"/>
      <name val="Arial"/>
      <family val="2"/>
    </font>
    <font>
      <b/>
      <sz val="12"/>
      <name val="Calibri"/>
      <family val="2"/>
      <scheme val="minor"/>
    </font>
    <font>
      <b/>
      <sz val="12"/>
      <color theme="1"/>
      <name val="Arial"/>
      <family val="2"/>
    </font>
    <font>
      <sz val="12"/>
      <color theme="1"/>
      <name val="Arial"/>
      <family val="2"/>
    </font>
    <font>
      <b/>
      <sz val="10"/>
      <color theme="1"/>
      <name val="Arial"/>
      <family val="2"/>
    </font>
    <font>
      <u/>
      <sz val="11"/>
      <color theme="10"/>
      <name val="Calibri"/>
      <family val="2"/>
    </font>
    <font>
      <sz val="8"/>
      <color indexed="14"/>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sz val="8"/>
      <color indexed="8"/>
      <name val="Arial"/>
      <family val="2"/>
    </font>
    <font>
      <b/>
      <sz val="8"/>
      <color indexed="8"/>
      <name val="Arial"/>
      <family val="2"/>
    </font>
    <font>
      <sz val="19"/>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sz val="10"/>
      <color rgb="FF00B050"/>
      <name val="Arial"/>
      <family val="2"/>
    </font>
    <font>
      <sz val="11"/>
      <color rgb="FF00B050"/>
      <name val="Calibri"/>
      <family val="2"/>
      <scheme val="minor"/>
    </font>
    <font>
      <i/>
      <sz val="10"/>
      <color rgb="FF00B050"/>
      <name val="Arial"/>
      <family val="2"/>
    </font>
    <font>
      <sz val="11"/>
      <color theme="1"/>
      <name val="Arial"/>
      <family val="2"/>
    </font>
    <font>
      <b/>
      <sz val="11"/>
      <color indexed="12"/>
      <name val="Arial"/>
      <family val="2"/>
    </font>
    <font>
      <b/>
      <sz val="9"/>
      <color indexed="8"/>
      <name val="Arial"/>
      <family val="2"/>
    </font>
    <font>
      <sz val="9"/>
      <color indexed="8"/>
      <name val="Arial"/>
      <family val="2"/>
    </font>
    <font>
      <vertAlign val="superscript"/>
      <sz val="9"/>
      <color indexed="8"/>
      <name val="Arial"/>
      <family val="2"/>
    </font>
    <font>
      <b/>
      <sz val="10"/>
      <color theme="0"/>
      <name val="Arial"/>
      <family val="2"/>
    </font>
    <font>
      <sz val="11"/>
      <name val="Calibri"/>
      <family val="2"/>
    </font>
    <font>
      <sz val="10"/>
      <color theme="1"/>
      <name val="Arial"/>
      <family val="2"/>
    </font>
    <font>
      <sz val="10"/>
      <color theme="1"/>
      <name val="Calibri"/>
      <family val="2"/>
      <scheme val="minor"/>
    </font>
    <font>
      <b/>
      <sz val="10"/>
      <color theme="0"/>
      <name val="Arial"/>
      <family val="2"/>
    </font>
    <font>
      <sz val="10"/>
      <color theme="0" tint="-4.9989318521683403E-2"/>
      <name val="Arial"/>
      <family val="2"/>
    </font>
  </fonts>
  <fills count="106">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theme="0" tint="-0.14999847407452621"/>
        <bgColor indexed="64"/>
      </patternFill>
    </fill>
    <fill>
      <patternFill patternType="solid">
        <fgColor indexed="27"/>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theme="0"/>
        <bgColor theme="4"/>
      </patternFill>
    </fill>
    <fill>
      <patternFill patternType="solid">
        <fgColor rgb="FFFFFF00"/>
        <bgColor indexed="64"/>
      </patternFill>
    </fill>
    <fill>
      <patternFill patternType="solid">
        <fgColor theme="0"/>
        <bgColor theme="0" tint="-0.14999847407452621"/>
      </patternFill>
    </fill>
    <fill>
      <patternFill patternType="solid">
        <fgColor theme="0"/>
        <bgColor indexed="41"/>
      </patternFill>
    </fill>
    <fill>
      <patternFill patternType="solid">
        <fgColor theme="2"/>
        <bgColor indexed="64"/>
      </patternFill>
    </fill>
    <fill>
      <patternFill patternType="solid">
        <fgColor rgb="FFF5F5F5"/>
        <bgColor theme="0" tint="-0.14993743705557422"/>
      </patternFill>
    </fill>
    <fill>
      <patternFill patternType="solid">
        <fgColor rgb="FFE42B06"/>
        <bgColor indexed="64"/>
      </patternFill>
    </fill>
  </fills>
  <borders count="130">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auto="1"/>
      </left>
      <right style="thin">
        <color indexed="64"/>
      </right>
      <top/>
      <bottom style="hair">
        <color indexed="64"/>
      </bottom>
      <diagonal/>
    </border>
    <border>
      <left style="thin">
        <color indexed="64"/>
      </left>
      <right style="medium">
        <color auto="1"/>
      </right>
      <top/>
      <bottom style="hair">
        <color indexed="64"/>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style="hair">
        <color theme="0"/>
      </left>
      <right/>
      <top style="hair">
        <color theme="0"/>
      </top>
      <bottom/>
      <diagonal/>
    </border>
    <border>
      <left/>
      <right/>
      <top style="hair">
        <color theme="0"/>
      </top>
      <bottom/>
      <diagonal/>
    </border>
    <border>
      <left style="hair">
        <color theme="0"/>
      </left>
      <right/>
      <top/>
      <bottom style="hair">
        <color theme="0"/>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hair">
        <color indexed="64"/>
      </top>
      <bottom/>
      <diagonal/>
    </border>
    <border>
      <left/>
      <right style="thin">
        <color indexed="64"/>
      </right>
      <top style="hair">
        <color indexed="64"/>
      </top>
      <bottom/>
      <diagonal/>
    </border>
    <border>
      <left style="medium">
        <color auto="1"/>
      </left>
      <right/>
      <top/>
      <bottom style="hair">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23"/>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55"/>
      </right>
      <top style="medium">
        <color indexed="23"/>
      </top>
      <bottom style="medium">
        <color indexed="23"/>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right style="medium">
        <color indexed="55"/>
      </right>
      <top/>
      <bottom style="medium">
        <color indexed="23"/>
      </bottom>
      <diagonal/>
    </border>
    <border>
      <left style="thin">
        <color theme="1"/>
      </left>
      <right style="thin">
        <color theme="1"/>
      </right>
      <top style="hair">
        <color theme="1"/>
      </top>
      <bottom style="hair">
        <color theme="1"/>
      </bottom>
      <diagonal/>
    </border>
    <border>
      <left style="thin">
        <color theme="0"/>
      </left>
      <right style="thin">
        <color theme="0"/>
      </right>
      <top/>
      <bottom/>
      <diagonal/>
    </border>
  </borders>
  <cellStyleXfs count="746">
    <xf numFmtId="0" fontId="0" fillId="0" borderId="0"/>
    <xf numFmtId="0" fontId="7" fillId="0" borderId="1" applyNumberFormat="0" applyFont="0" applyFill="0" applyAlignment="0" applyProtection="0"/>
    <xf numFmtId="176" fontId="8" fillId="0" borderId="2" applyNumberFormat="0" applyFill="0" applyAlignment="0" applyProtection="0"/>
    <xf numFmtId="176" fontId="9" fillId="0" borderId="0" applyFont="0" applyFill="0" applyBorder="0" applyProtection="0">
      <alignment horizontal="right"/>
    </xf>
    <xf numFmtId="165" fontId="6" fillId="0" borderId="0" applyFont="0" applyFill="0" applyBorder="0" applyAlignment="0" applyProtection="0"/>
    <xf numFmtId="170" fontId="6" fillId="0" borderId="0" applyFont="0" applyFill="0" applyBorder="0" applyAlignment="0" applyProtection="0"/>
    <xf numFmtId="0" fontId="10" fillId="0" borderId="0" applyNumberFormat="0" applyFill="0" applyBorder="0" applyAlignment="0" applyProtection="0">
      <alignment vertical="top"/>
      <protection locked="0"/>
    </xf>
    <xf numFmtId="177" fontId="11" fillId="0" borderId="0" applyFont="0" applyFill="0" applyBorder="0" applyProtection="0">
      <alignment horizontal="right"/>
    </xf>
    <xf numFmtId="0" fontId="12" fillId="0" borderId="0" applyFill="0" applyBorder="0" applyProtection="0">
      <alignment horizontal="left"/>
    </xf>
    <xf numFmtId="0" fontId="13" fillId="0" borderId="0" applyFill="0" applyBorder="0" applyProtection="0">
      <alignment horizontal="left"/>
    </xf>
    <xf numFmtId="178" fontId="9" fillId="0" borderId="0" applyFont="0" applyFill="0" applyBorder="0" applyProtection="0">
      <alignment horizontal="right"/>
    </xf>
    <xf numFmtId="9" fontId="6" fillId="0" borderId="0" applyFont="0" applyFill="0" applyBorder="0" applyAlignment="0" applyProtection="0"/>
    <xf numFmtId="4" fontId="14" fillId="2" borderId="3" applyNumberFormat="0" applyProtection="0">
      <alignment vertical="center"/>
    </xf>
    <xf numFmtId="4" fontId="15" fillId="3" borderId="3" applyNumberFormat="0" applyProtection="0">
      <alignment vertical="center"/>
    </xf>
    <xf numFmtId="4" fontId="14" fillId="3" borderId="3" applyNumberFormat="0" applyProtection="0">
      <alignment horizontal="left" vertical="center" indent="1"/>
    </xf>
    <xf numFmtId="0" fontId="14" fillId="3" borderId="3" applyNumberFormat="0" applyProtection="0">
      <alignment horizontal="left" vertical="top" indent="1"/>
    </xf>
    <xf numFmtId="4" fontId="14" fillId="4" borderId="0" applyNumberFormat="0" applyProtection="0">
      <alignment horizontal="left" vertical="center" indent="1"/>
    </xf>
    <xf numFmtId="4" fontId="16" fillId="5" borderId="3" applyNumberFormat="0" applyProtection="0">
      <alignment horizontal="right" vertical="center"/>
    </xf>
    <xf numFmtId="4" fontId="16" fillId="6" borderId="3" applyNumberFormat="0" applyProtection="0">
      <alignment horizontal="right" vertical="center"/>
    </xf>
    <xf numFmtId="4" fontId="16" fillId="7" borderId="3" applyNumberFormat="0" applyProtection="0">
      <alignment horizontal="right" vertical="center"/>
    </xf>
    <xf numFmtId="4" fontId="16" fillId="8" borderId="3" applyNumberFormat="0" applyProtection="0">
      <alignment horizontal="right" vertical="center"/>
    </xf>
    <xf numFmtId="4" fontId="16" fillId="9" borderId="3" applyNumberFormat="0" applyProtection="0">
      <alignment horizontal="right" vertical="center"/>
    </xf>
    <xf numFmtId="4" fontId="16" fillId="10" borderId="3" applyNumberFormat="0" applyProtection="0">
      <alignment horizontal="right" vertical="center"/>
    </xf>
    <xf numFmtId="4" fontId="16" fillId="11" borderId="3" applyNumberFormat="0" applyProtection="0">
      <alignment horizontal="right" vertical="center"/>
    </xf>
    <xf numFmtId="4" fontId="16" fillId="12" borderId="3" applyNumberFormat="0" applyProtection="0">
      <alignment horizontal="right" vertical="center"/>
    </xf>
    <xf numFmtId="4" fontId="16" fillId="13" borderId="3" applyNumberFormat="0" applyProtection="0">
      <alignment horizontal="right" vertical="center"/>
    </xf>
    <xf numFmtId="4" fontId="14" fillId="14" borderId="4" applyNumberFormat="0" applyProtection="0">
      <alignment horizontal="left" vertical="center" indent="1"/>
    </xf>
    <xf numFmtId="4" fontId="16" fillId="15" borderId="0" applyNumberFormat="0" applyProtection="0">
      <alignment horizontal="left" vertical="center" indent="1"/>
    </xf>
    <xf numFmtId="4" fontId="17" fillId="16" borderId="0" applyNumberFormat="0" applyProtection="0">
      <alignment horizontal="left" vertical="center" indent="1"/>
    </xf>
    <xf numFmtId="4" fontId="16" fillId="17" borderId="3" applyNumberFormat="0" applyProtection="0">
      <alignment horizontal="right" vertical="center"/>
    </xf>
    <xf numFmtId="4" fontId="18" fillId="15" borderId="0" applyNumberFormat="0" applyProtection="0">
      <alignment horizontal="left" vertical="center" indent="1"/>
    </xf>
    <xf numFmtId="4" fontId="18" fillId="4" borderId="0" applyNumberFormat="0" applyProtection="0">
      <alignment horizontal="left" vertical="center" indent="1"/>
    </xf>
    <xf numFmtId="0" fontId="6" fillId="16" borderId="3" applyNumberFormat="0" applyProtection="0">
      <alignment horizontal="left" vertical="center" indent="1"/>
    </xf>
    <xf numFmtId="0" fontId="6" fillId="16" borderId="3" applyNumberFormat="0" applyProtection="0">
      <alignment horizontal="left" vertical="top" indent="1"/>
    </xf>
    <xf numFmtId="0" fontId="6" fillId="4" borderId="3" applyNumberFormat="0" applyProtection="0">
      <alignment horizontal="left" vertical="center" indent="1"/>
    </xf>
    <xf numFmtId="0" fontId="6" fillId="4" borderId="3" applyNumberFormat="0" applyProtection="0">
      <alignment horizontal="left" vertical="top" indent="1"/>
    </xf>
    <xf numFmtId="0" fontId="6" fillId="18" borderId="3" applyNumberFormat="0" applyProtection="0">
      <alignment horizontal="left" vertical="center" indent="1"/>
    </xf>
    <xf numFmtId="0" fontId="6" fillId="18" borderId="3" applyNumberFormat="0" applyProtection="0">
      <alignment horizontal="left" vertical="top" indent="1"/>
    </xf>
    <xf numFmtId="0" fontId="6" fillId="19" borderId="3" applyNumberFormat="0" applyProtection="0">
      <alignment horizontal="left" vertical="center" indent="1"/>
    </xf>
    <xf numFmtId="0" fontId="6" fillId="19" borderId="3" applyNumberFormat="0" applyProtection="0">
      <alignment horizontal="left" vertical="top" indent="1"/>
    </xf>
    <xf numFmtId="4" fontId="16" fillId="20" borderId="3" applyNumberFormat="0" applyProtection="0">
      <alignment vertical="center"/>
    </xf>
    <xf numFmtId="4" fontId="19" fillId="20" borderId="3" applyNumberFormat="0" applyProtection="0">
      <alignment vertical="center"/>
    </xf>
    <xf numFmtId="4" fontId="16" fillId="20" borderId="3" applyNumberFormat="0" applyProtection="0">
      <alignment horizontal="left" vertical="center" indent="1"/>
    </xf>
    <xf numFmtId="0" fontId="16" fillId="20" borderId="3" applyNumberFormat="0" applyProtection="0">
      <alignment horizontal="left" vertical="top" indent="1"/>
    </xf>
    <xf numFmtId="4" fontId="16" fillId="15" borderId="3" applyNumberFormat="0" applyProtection="0">
      <alignment horizontal="right" vertical="center"/>
    </xf>
    <xf numFmtId="4" fontId="19" fillId="15" borderId="3" applyNumberFormat="0" applyProtection="0">
      <alignment horizontal="right" vertical="center"/>
    </xf>
    <xf numFmtId="4" fontId="16" fillId="17" borderId="3" applyNumberFormat="0" applyProtection="0">
      <alignment horizontal="left" vertical="center" indent="1"/>
    </xf>
    <xf numFmtId="0" fontId="16" fillId="4" borderId="3" applyNumberFormat="0" applyProtection="0">
      <alignment horizontal="left" vertical="top" indent="1"/>
    </xf>
    <xf numFmtId="4" fontId="20" fillId="21" borderId="0" applyNumberFormat="0" applyProtection="0">
      <alignment horizontal="left" vertical="center" indent="1"/>
    </xf>
    <xf numFmtId="4" fontId="21" fillId="15" borderId="3" applyNumberFormat="0" applyProtection="0">
      <alignment horizontal="right" vertical="center"/>
    </xf>
    <xf numFmtId="0" fontId="22" fillId="22" borderId="0" applyNumberFormat="0" applyFont="0" applyBorder="0" applyAlignment="0" applyProtection="0"/>
    <xf numFmtId="0" fontId="23" fillId="0" borderId="0" applyFill="0" applyBorder="0" applyProtection="0">
      <alignment horizontal="center" vertical="center"/>
    </xf>
    <xf numFmtId="0" fontId="23" fillId="0" borderId="0" applyFill="0" applyBorder="0" applyProtection="0"/>
    <xf numFmtId="0" fontId="24" fillId="0" borderId="0" applyFill="0" applyBorder="0" applyProtection="0">
      <alignment horizontal="left"/>
    </xf>
    <xf numFmtId="0" fontId="25" fillId="0" borderId="0" applyFill="0" applyBorder="0" applyProtection="0">
      <alignment horizontal="left" vertical="top"/>
    </xf>
    <xf numFmtId="170" fontId="6" fillId="0" borderId="0" applyFont="0" applyFill="0" applyBorder="0" applyAlignment="0" applyProtection="0"/>
    <xf numFmtId="176" fontId="7" fillId="0" borderId="0" applyFont="0" applyFill="0" applyBorder="0" applyProtection="0">
      <alignment horizontal="right"/>
    </xf>
    <xf numFmtId="0" fontId="6" fillId="0" borderId="0"/>
    <xf numFmtId="176" fontId="6" fillId="0" borderId="2" applyNumberFormat="0" applyFill="0" applyAlignment="0" applyProtection="0"/>
    <xf numFmtId="176" fontId="7" fillId="0" borderId="0" applyFont="0" applyFill="0" applyBorder="0" applyProtection="0">
      <alignment horizontal="right"/>
    </xf>
    <xf numFmtId="178" fontId="7" fillId="0" borderId="0" applyFont="0" applyFill="0" applyBorder="0" applyProtection="0">
      <alignment horizontal="right"/>
    </xf>
    <xf numFmtId="4" fontId="16" fillId="15" borderId="0" applyNumberFormat="0" applyProtection="0">
      <alignment horizontal="left" vertical="center" indent="1"/>
    </xf>
    <xf numFmtId="4" fontId="16" fillId="4" borderId="0" applyNumberFormat="0" applyProtection="0">
      <alignment horizontal="left" vertical="center" indent="1"/>
    </xf>
    <xf numFmtId="0" fontId="32" fillId="0" borderId="0">
      <alignment horizontal="left" wrapText="1"/>
    </xf>
    <xf numFmtId="165" fontId="32" fillId="0" borderId="0" applyFont="0" applyFill="0" applyBorder="0" applyAlignment="0" applyProtection="0"/>
    <xf numFmtId="38" fontId="54" fillId="0" borderId="0"/>
    <xf numFmtId="38" fontId="55" fillId="0" borderId="0"/>
    <xf numFmtId="38" fontId="56" fillId="0" borderId="0"/>
    <xf numFmtId="38" fontId="57" fillId="0" borderId="0"/>
    <xf numFmtId="0" fontId="32" fillId="0" borderId="0"/>
    <xf numFmtId="0" fontId="32" fillId="0" borderId="0"/>
    <xf numFmtId="9"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5" fontId="6" fillId="0" borderId="0" applyFont="0" applyFill="0" applyBorder="0" applyAlignment="0" applyProtection="0"/>
    <xf numFmtId="184" fontId="71" fillId="0" borderId="0"/>
    <xf numFmtId="0" fontId="87" fillId="0" borderId="0" applyNumberFormat="0" applyFill="0" applyBorder="0" applyAlignment="0" applyProtection="0"/>
    <xf numFmtId="0" fontId="88" fillId="0" borderId="46" applyNumberFormat="0" applyFill="0" applyAlignment="0" applyProtection="0"/>
    <xf numFmtId="0" fontId="89" fillId="0" borderId="47" applyNumberFormat="0" applyFill="0" applyAlignment="0" applyProtection="0"/>
    <xf numFmtId="0" fontId="90" fillId="0" borderId="48" applyNumberFormat="0" applyFill="0" applyAlignment="0" applyProtection="0"/>
    <xf numFmtId="0" fontId="90" fillId="0" borderId="0" applyNumberFormat="0" applyFill="0" applyBorder="0" applyAlignment="0" applyProtection="0"/>
    <xf numFmtId="0" fontId="91" fillId="31" borderId="0" applyNumberFormat="0" applyBorder="0" applyAlignment="0" applyProtection="0"/>
    <xf numFmtId="0" fontId="92" fillId="32" borderId="0" applyNumberFormat="0" applyBorder="0" applyAlignment="0" applyProtection="0"/>
    <xf numFmtId="0" fontId="93" fillId="33" borderId="0" applyNumberFormat="0" applyBorder="0" applyAlignment="0" applyProtection="0"/>
    <xf numFmtId="0" fontId="94" fillId="34" borderId="49" applyNumberFormat="0" applyAlignment="0" applyProtection="0"/>
    <xf numFmtId="0" fontId="95" fillId="35" borderId="50" applyNumberFormat="0" applyAlignment="0" applyProtection="0"/>
    <xf numFmtId="0" fontId="96" fillId="35" borderId="49" applyNumberFormat="0" applyAlignment="0" applyProtection="0"/>
    <xf numFmtId="0" fontId="97" fillId="0" borderId="51" applyNumberFormat="0" applyFill="0" applyAlignment="0" applyProtection="0"/>
    <xf numFmtId="0" fontId="69" fillId="36" borderId="52"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54" applyNumberFormat="0" applyFill="0" applyAlignment="0" applyProtection="0"/>
    <xf numFmtId="0" fontId="70"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70" fillId="61" borderId="0" applyNumberFormat="0" applyBorder="0" applyAlignment="0" applyProtection="0"/>
    <xf numFmtId="0" fontId="5" fillId="0" borderId="0"/>
    <xf numFmtId="0" fontId="5" fillId="37" borderId="53" applyNumberFormat="0" applyFont="0" applyAlignment="0" applyProtection="0"/>
    <xf numFmtId="0" fontId="4" fillId="0" borderId="0"/>
    <xf numFmtId="0" fontId="108" fillId="0" borderId="0" applyNumberFormat="0" applyFill="0" applyBorder="0" applyAlignment="0" applyProtection="0">
      <alignment vertical="top"/>
      <protection locked="0"/>
    </xf>
    <xf numFmtId="9" fontId="6" fillId="0" borderId="0" applyFont="0" applyFill="0" applyBorder="0" applyAlignment="0" applyProtection="0"/>
    <xf numFmtId="169" fontId="6" fillId="0" borderId="0" applyFont="0" applyFill="0" applyBorder="0" applyAlignment="0" applyProtection="0"/>
    <xf numFmtId="190" fontId="6" fillId="0" borderId="0">
      <alignment horizontal="left" wrapText="1"/>
    </xf>
    <xf numFmtId="190" fontId="6" fillId="0" borderId="0">
      <alignment horizontal="left" wrapText="1"/>
    </xf>
    <xf numFmtId="189" fontId="6" fillId="0" borderId="0" applyFont="0" applyFill="0" applyBorder="0" applyAlignment="0" applyProtection="0"/>
    <xf numFmtId="190" fontId="4" fillId="0" borderId="0"/>
    <xf numFmtId="190" fontId="4" fillId="0" borderId="0"/>
    <xf numFmtId="4" fontId="26" fillId="0" borderId="59" applyNumberFormat="0" applyProtection="0">
      <alignment horizontal="right" vertical="center"/>
    </xf>
    <xf numFmtId="4" fontId="16" fillId="15" borderId="3" applyNumberFormat="0" applyProtection="0">
      <alignment horizontal="right" vertical="center"/>
    </xf>
    <xf numFmtId="169" fontId="4" fillId="0" borderId="0" applyFont="0" applyFill="0" applyBorder="0" applyAlignment="0" applyProtection="0"/>
    <xf numFmtId="9" fontId="4" fillId="0" borderId="0" applyFont="0" applyFill="0" applyBorder="0" applyAlignment="0" applyProtection="0"/>
    <xf numFmtId="4" fontId="26" fillId="0" borderId="59" applyNumberFormat="0" applyProtection="0">
      <alignment horizontal="right" vertical="center"/>
    </xf>
    <xf numFmtId="190" fontId="16" fillId="4" borderId="3" applyNumberFormat="0" applyProtection="0">
      <alignment horizontal="left" vertical="center" indent="1"/>
    </xf>
    <xf numFmtId="190" fontId="16" fillId="64" borderId="3" applyNumberFormat="0" applyProtection="0">
      <alignment horizontal="right" vertical="center"/>
    </xf>
    <xf numFmtId="189" fontId="4" fillId="0" borderId="0" applyFont="0" applyFill="0" applyBorder="0" applyAlignment="0" applyProtection="0"/>
    <xf numFmtId="0" fontId="127" fillId="86" borderId="76" applyNumberFormat="0" applyAlignment="0" applyProtection="0"/>
    <xf numFmtId="0" fontId="110" fillId="0" borderId="46" applyNumberFormat="0" applyFill="0" applyAlignment="0" applyProtection="0"/>
    <xf numFmtId="0" fontId="111" fillId="0" borderId="47" applyNumberFormat="0" applyFill="0" applyAlignment="0" applyProtection="0"/>
    <xf numFmtId="0" fontId="112" fillId="0" borderId="48" applyNumberFormat="0" applyFill="0" applyAlignment="0" applyProtection="0"/>
    <xf numFmtId="0" fontId="112" fillId="0" borderId="0" applyNumberFormat="0" applyFill="0" applyBorder="0" applyAlignment="0" applyProtection="0"/>
    <xf numFmtId="0" fontId="113" fillId="31" borderId="0" applyNumberFormat="0" applyBorder="0" applyAlignment="0" applyProtection="0"/>
    <xf numFmtId="0" fontId="114" fillId="32" borderId="0" applyNumberFormat="0" applyBorder="0" applyAlignment="0" applyProtection="0"/>
    <xf numFmtId="0" fontId="115" fillId="33" borderId="0" applyNumberFormat="0" applyBorder="0" applyAlignment="0" applyProtection="0"/>
    <xf numFmtId="0" fontId="116" fillId="34" borderId="49" applyNumberFormat="0" applyAlignment="0" applyProtection="0"/>
    <xf numFmtId="0" fontId="117" fillId="35" borderId="50" applyNumberFormat="0" applyAlignment="0" applyProtection="0"/>
    <xf numFmtId="0" fontId="118" fillId="35" borderId="49" applyNumberFormat="0" applyAlignment="0" applyProtection="0"/>
    <xf numFmtId="0" fontId="119" fillId="0" borderId="51" applyNumberFormat="0" applyFill="0" applyAlignment="0" applyProtection="0"/>
    <xf numFmtId="0" fontId="75" fillId="36" borderId="52" applyNumberFormat="0" applyAlignment="0" applyProtection="0"/>
    <xf numFmtId="0" fontId="60" fillId="0" borderId="0" applyNumberFormat="0" applyFill="0" applyBorder="0" applyAlignment="0" applyProtection="0"/>
    <xf numFmtId="0" fontId="120" fillId="0" borderId="0" applyNumberFormat="0" applyFill="0" applyBorder="0" applyAlignment="0" applyProtection="0"/>
    <xf numFmtId="0" fontId="107" fillId="0" borderId="54" applyNumberFormat="0" applyFill="0" applyAlignment="0" applyProtection="0"/>
    <xf numFmtId="0" fontId="59" fillId="38" borderId="0" applyNumberFormat="0" applyBorder="0" applyAlignment="0" applyProtection="0"/>
    <xf numFmtId="0" fontId="83" fillId="39" borderId="0" applyNumberFormat="0" applyBorder="0" applyAlignment="0" applyProtection="0"/>
    <xf numFmtId="0" fontId="83"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59" fillId="61" borderId="0" applyNumberFormat="0" applyBorder="0" applyAlignment="0" applyProtection="0"/>
    <xf numFmtId="0" fontId="83" fillId="0" borderId="0"/>
    <xf numFmtId="0" fontId="83" fillId="37" borderId="53" applyNumberFormat="0" applyFont="0" applyAlignment="0" applyProtection="0"/>
    <xf numFmtId="0" fontId="83" fillId="0" borderId="0"/>
    <xf numFmtId="0" fontId="83" fillId="37" borderId="53" applyNumberFormat="0" applyFont="0" applyAlignment="0" applyProtection="0"/>
    <xf numFmtId="0" fontId="83" fillId="39"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83" fillId="0" borderId="0"/>
    <xf numFmtId="0" fontId="83" fillId="0" borderId="0"/>
    <xf numFmtId="0" fontId="83" fillId="37" borderId="53" applyNumberFormat="0" applyFont="0" applyAlignment="0" applyProtection="0"/>
    <xf numFmtId="0" fontId="83" fillId="39"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9" fontId="6" fillId="0" borderId="0" applyFont="0" applyFill="0" applyBorder="0" applyAlignment="0" applyProtection="0"/>
    <xf numFmtId="165" fontId="4" fillId="0" borderId="0" applyFont="0" applyFill="0" applyBorder="0" applyAlignment="0" applyProtection="0"/>
    <xf numFmtId="0" fontId="6" fillId="0" borderId="0"/>
    <xf numFmtId="0" fontId="26" fillId="65" borderId="0"/>
    <xf numFmtId="0" fontId="124" fillId="66"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4" fillId="69" borderId="0" applyNumberFormat="0" applyBorder="0" applyAlignment="0" applyProtection="0"/>
    <xf numFmtId="0" fontId="124" fillId="70" borderId="0" applyNumberFormat="0" applyBorder="0" applyAlignment="0" applyProtection="0"/>
    <xf numFmtId="0" fontId="125" fillId="71" borderId="0" applyNumberFormat="0" applyBorder="0" applyAlignment="0" applyProtection="0"/>
    <xf numFmtId="0" fontId="125" fillId="72" borderId="0" applyNumberFormat="0" applyBorder="0" applyAlignment="0" applyProtection="0"/>
    <xf numFmtId="0" fontId="124" fillId="73" borderId="0" applyNumberFormat="0" applyBorder="0" applyAlignment="0" applyProtection="0"/>
    <xf numFmtId="0" fontId="124" fillId="74" borderId="0" applyNumberFormat="0" applyBorder="0" applyAlignment="0" applyProtection="0"/>
    <xf numFmtId="0" fontId="125" fillId="75" borderId="0" applyNumberFormat="0" applyBorder="0" applyAlignment="0" applyProtection="0"/>
    <xf numFmtId="0" fontId="125" fillId="76" borderId="0" applyNumberFormat="0" applyBorder="0" applyAlignment="0" applyProtection="0"/>
    <xf numFmtId="0" fontId="124" fillId="77" borderId="0" applyNumberFormat="0" applyBorder="0" applyAlignment="0" applyProtection="0"/>
    <xf numFmtId="0" fontId="124" fillId="78" borderId="0" applyNumberFormat="0" applyBorder="0" applyAlignment="0" applyProtection="0"/>
    <xf numFmtId="0" fontId="125" fillId="71" borderId="0" applyNumberFormat="0" applyBorder="0" applyAlignment="0" applyProtection="0"/>
    <xf numFmtId="0" fontId="125" fillId="79" borderId="0" applyNumberFormat="0" applyBorder="0" applyAlignment="0" applyProtection="0"/>
    <xf numFmtId="0" fontId="124" fillId="72" borderId="0" applyNumberFormat="0" applyBorder="0" applyAlignment="0" applyProtection="0"/>
    <xf numFmtId="0" fontId="124" fillId="69" borderId="0" applyNumberFormat="0" applyBorder="0" applyAlignment="0" applyProtection="0"/>
    <xf numFmtId="0" fontId="125" fillId="80" borderId="0" applyNumberFormat="0" applyBorder="0" applyAlignment="0" applyProtection="0"/>
    <xf numFmtId="0" fontId="125" fillId="81" borderId="0" applyNumberFormat="0" applyBorder="0" applyAlignment="0" applyProtection="0"/>
    <xf numFmtId="0" fontId="124" fillId="69" borderId="0" applyNumberFormat="0" applyBorder="0" applyAlignment="0" applyProtection="0"/>
    <xf numFmtId="0" fontId="124" fillId="82" borderId="0" applyNumberFormat="0" applyBorder="0" applyAlignment="0" applyProtection="0"/>
    <xf numFmtId="0" fontId="125" fillId="83" borderId="0" applyNumberFormat="0" applyBorder="0" applyAlignment="0" applyProtection="0"/>
    <xf numFmtId="0" fontId="125" fillId="84" borderId="0" applyNumberFormat="0" applyBorder="0" applyAlignment="0" applyProtection="0"/>
    <xf numFmtId="0" fontId="124" fillId="85" borderId="0" applyNumberFormat="0" applyBorder="0" applyAlignment="0" applyProtection="0"/>
    <xf numFmtId="0" fontId="126" fillId="83" borderId="0" applyNumberFormat="0" applyBorder="0" applyAlignment="0" applyProtection="0"/>
    <xf numFmtId="0" fontId="127" fillId="86" borderId="59" applyNumberFormat="0" applyAlignment="0" applyProtection="0"/>
    <xf numFmtId="0" fontId="128" fillId="78" borderId="60" applyNumberFormat="0" applyAlignment="0" applyProtection="0"/>
    <xf numFmtId="0" fontId="129" fillId="87" borderId="0" applyNumberFormat="0" applyBorder="0" applyAlignment="0" applyProtection="0"/>
    <xf numFmtId="0" fontId="129" fillId="88" borderId="0" applyNumberFormat="0" applyBorder="0" applyAlignment="0" applyProtection="0"/>
    <xf numFmtId="0" fontId="129" fillId="89" borderId="0" applyNumberFormat="0" applyBorder="0" applyAlignment="0" applyProtection="0"/>
    <xf numFmtId="0" fontId="125" fillId="76" borderId="0" applyNumberFormat="0" applyBorder="0" applyAlignment="0" applyProtection="0"/>
    <xf numFmtId="0" fontId="130" fillId="0" borderId="61" applyNumberFormat="0" applyFill="0" applyAlignment="0" applyProtection="0"/>
    <xf numFmtId="0" fontId="131" fillId="0" borderId="62" applyNumberFormat="0" applyFill="0" applyAlignment="0" applyProtection="0"/>
    <xf numFmtId="0" fontId="132" fillId="0" borderId="63" applyNumberFormat="0" applyFill="0" applyAlignment="0" applyProtection="0"/>
    <xf numFmtId="0" fontId="132" fillId="0" borderId="0" applyNumberFormat="0" applyFill="0" applyBorder="0" applyAlignment="0" applyProtection="0"/>
    <xf numFmtId="0" fontId="133" fillId="84" borderId="59" applyNumberFormat="0" applyAlignment="0" applyProtection="0"/>
    <xf numFmtId="0" fontId="134" fillId="0" borderId="64" applyNumberFormat="0" applyFill="0" applyAlignment="0" applyProtection="0"/>
    <xf numFmtId="0" fontId="134" fillId="84" borderId="0" applyNumberFormat="0" applyBorder="0" applyAlignment="0" applyProtection="0"/>
    <xf numFmtId="0" fontId="26" fillId="83" borderId="59" applyNumberFormat="0" applyFont="0" applyAlignment="0" applyProtection="0"/>
    <xf numFmtId="0" fontId="135" fillId="86" borderId="65" applyNumberFormat="0" applyAlignment="0" applyProtection="0"/>
    <xf numFmtId="4" fontId="26" fillId="2" borderId="59" applyNumberFormat="0" applyProtection="0">
      <alignment vertical="center"/>
    </xf>
    <xf numFmtId="4" fontId="138" fillId="3" borderId="59" applyNumberFormat="0" applyProtection="0">
      <alignment vertical="center"/>
    </xf>
    <xf numFmtId="4" fontId="26" fillId="3" borderId="59" applyNumberFormat="0" applyProtection="0">
      <alignment horizontal="left" vertical="center" indent="1"/>
    </xf>
    <xf numFmtId="0" fontId="122" fillId="2" borderId="3" applyNumberFormat="0" applyProtection="0">
      <alignment horizontal="left" vertical="top" indent="1"/>
    </xf>
    <xf numFmtId="4" fontId="26" fillId="90" borderId="59" applyNumberFormat="0" applyProtection="0">
      <alignment horizontal="left" vertical="center" indent="1"/>
    </xf>
    <xf numFmtId="4" fontId="26" fillId="5" borderId="59" applyNumberFormat="0" applyProtection="0">
      <alignment horizontal="right" vertical="center"/>
    </xf>
    <xf numFmtId="4" fontId="26" fillId="91" borderId="59" applyNumberFormat="0" applyProtection="0">
      <alignment horizontal="right" vertical="center"/>
    </xf>
    <xf numFmtId="4" fontId="26" fillId="7" borderId="66" applyNumberFormat="0" applyProtection="0">
      <alignment horizontal="right" vertical="center"/>
    </xf>
    <xf numFmtId="4" fontId="26" fillId="8" borderId="59" applyNumberFormat="0" applyProtection="0">
      <alignment horizontal="right" vertical="center"/>
    </xf>
    <xf numFmtId="4" fontId="26" fillId="9" borderId="59" applyNumberFormat="0" applyProtection="0">
      <alignment horizontal="right" vertical="center"/>
    </xf>
    <xf numFmtId="4" fontId="26" fillId="10" borderId="59" applyNumberFormat="0" applyProtection="0">
      <alignment horizontal="right" vertical="center"/>
    </xf>
    <xf numFmtId="4" fontId="26" fillId="11" borderId="59" applyNumberFormat="0" applyProtection="0">
      <alignment horizontal="right" vertical="center"/>
    </xf>
    <xf numFmtId="4" fontId="26" fillId="12" borderId="59" applyNumberFormat="0" applyProtection="0">
      <alignment horizontal="right" vertical="center"/>
    </xf>
    <xf numFmtId="4" fontId="26" fillId="13" borderId="59" applyNumberFormat="0" applyProtection="0">
      <alignment horizontal="right" vertical="center"/>
    </xf>
    <xf numFmtId="4" fontId="26" fillId="14" borderId="66" applyNumberFormat="0" applyProtection="0">
      <alignment horizontal="left" vertical="center" indent="1"/>
    </xf>
    <xf numFmtId="4" fontId="6" fillId="92" borderId="66" applyNumberFormat="0" applyProtection="0">
      <alignment horizontal="left" vertical="center" indent="1"/>
    </xf>
    <xf numFmtId="4" fontId="6" fillId="92" borderId="66" applyNumberFormat="0" applyProtection="0">
      <alignment horizontal="left" vertical="center" indent="1"/>
    </xf>
    <xf numFmtId="4" fontId="26" fillId="17" borderId="59" applyNumberFormat="0" applyProtection="0">
      <alignment horizontal="right" vertical="center"/>
    </xf>
    <xf numFmtId="4" fontId="26" fillId="15" borderId="66" applyNumberFormat="0" applyProtection="0">
      <alignment horizontal="left" vertical="center" indent="1"/>
    </xf>
    <xf numFmtId="4" fontId="26" fillId="17" borderId="66" applyNumberFormat="0" applyProtection="0">
      <alignment horizontal="left" vertical="center" indent="1"/>
    </xf>
    <xf numFmtId="0" fontId="26" fillId="93" borderId="59" applyNumberFormat="0" applyProtection="0">
      <alignment horizontal="left" vertical="center" indent="1"/>
    </xf>
    <xf numFmtId="0" fontId="26" fillId="92" borderId="3" applyNumberFormat="0" applyProtection="0">
      <alignment horizontal="left" vertical="top" indent="1"/>
    </xf>
    <xf numFmtId="0" fontId="26" fillId="94" borderId="59" applyNumberFormat="0" applyProtection="0">
      <alignment horizontal="left" vertical="center" indent="1"/>
    </xf>
    <xf numFmtId="0" fontId="26" fillId="17" borderId="3" applyNumberFormat="0" applyProtection="0">
      <alignment horizontal="left" vertical="top" indent="1"/>
    </xf>
    <xf numFmtId="0" fontId="26" fillId="95" borderId="59" applyNumberFormat="0" applyProtection="0">
      <alignment horizontal="left" vertical="center" indent="1"/>
    </xf>
    <xf numFmtId="0" fontId="26" fillId="95" borderId="3" applyNumberFormat="0" applyProtection="0">
      <alignment horizontal="left" vertical="top" indent="1"/>
    </xf>
    <xf numFmtId="0" fontId="26" fillId="15" borderId="59" applyNumberFormat="0" applyProtection="0">
      <alignment horizontal="left" vertical="center" indent="1"/>
    </xf>
    <xf numFmtId="0" fontId="26" fillId="15" borderId="3" applyNumberFormat="0" applyProtection="0">
      <alignment horizontal="left" vertical="top" indent="1"/>
    </xf>
    <xf numFmtId="0" fontId="26" fillId="96" borderId="67" applyNumberFormat="0">
      <protection locked="0"/>
    </xf>
    <xf numFmtId="0" fontId="42" fillId="92" borderId="68" applyBorder="0"/>
    <xf numFmtId="4" fontId="121" fillId="97" borderId="3" applyNumberFormat="0" applyProtection="0">
      <alignment vertical="center"/>
    </xf>
    <xf numFmtId="4" fontId="138" fillId="20" borderId="58" applyNumberFormat="0" applyProtection="0">
      <alignment vertical="center"/>
    </xf>
    <xf numFmtId="4" fontId="121" fillId="93" borderId="3" applyNumberFormat="0" applyProtection="0">
      <alignment horizontal="left" vertical="center" indent="1"/>
    </xf>
    <xf numFmtId="0" fontId="121" fillId="97" borderId="3" applyNumberFormat="0" applyProtection="0">
      <alignment horizontal="left" vertical="top" indent="1"/>
    </xf>
    <xf numFmtId="4" fontId="26" fillId="0" borderId="59" applyNumberFormat="0" applyProtection="0">
      <alignment horizontal="right" vertical="center"/>
    </xf>
    <xf numFmtId="4" fontId="138" fillId="23" borderId="59" applyNumberFormat="0" applyProtection="0">
      <alignment horizontal="right" vertical="center"/>
    </xf>
    <xf numFmtId="4" fontId="26" fillId="90" borderId="59" applyNumberFormat="0" applyProtection="0">
      <alignment horizontal="left" vertical="center" indent="1"/>
    </xf>
    <xf numFmtId="0" fontId="121" fillId="17" borderId="3" applyNumberFormat="0" applyProtection="0">
      <alignment horizontal="left" vertical="top" indent="1"/>
    </xf>
    <xf numFmtId="4" fontId="123" fillId="21" borderId="66" applyNumberFormat="0" applyProtection="0">
      <alignment horizontal="left" vertical="center" indent="1"/>
    </xf>
    <xf numFmtId="0" fontId="26" fillId="98" borderId="58"/>
    <xf numFmtId="4" fontId="109" fillId="96" borderId="59" applyNumberFormat="0" applyProtection="0">
      <alignment horizontal="right" vertical="center"/>
    </xf>
    <xf numFmtId="0" fontId="136" fillId="0" borderId="0" applyNumberFormat="0" applyFill="0" applyBorder="0" applyAlignment="0" applyProtection="0"/>
    <xf numFmtId="0" fontId="129" fillId="0" borderId="69" applyNumberFormat="0" applyFill="0" applyAlignment="0" applyProtection="0"/>
    <xf numFmtId="0" fontId="137" fillId="0" borderId="0" applyNumberFormat="0" applyFill="0" applyBorder="0" applyAlignment="0" applyProtection="0"/>
    <xf numFmtId="0" fontId="59" fillId="46" borderId="0" applyNumberFormat="0" applyBorder="0" applyAlignment="0" applyProtection="0"/>
    <xf numFmtId="0" fontId="59" fillId="58" borderId="0" applyNumberFormat="0" applyBorder="0" applyAlignment="0" applyProtection="0"/>
    <xf numFmtId="0" fontId="26" fillId="94" borderId="82" applyNumberFormat="0" applyProtection="0">
      <alignment horizontal="left" vertical="center" indent="1"/>
    </xf>
    <xf numFmtId="0" fontId="26" fillId="93" borderId="82" applyNumberFormat="0" applyProtection="0">
      <alignment horizontal="left" vertical="center" indent="1"/>
    </xf>
    <xf numFmtId="0" fontId="133" fillId="84" borderId="82" applyNumberFormat="0" applyAlignment="0" applyProtection="0"/>
    <xf numFmtId="0" fontId="59" fillId="46" borderId="0" applyNumberFormat="0" applyBorder="0" applyAlignment="0" applyProtection="0"/>
    <xf numFmtId="0" fontId="59" fillId="58" borderId="0" applyNumberFormat="0" applyBorder="0" applyAlignment="0" applyProtection="0"/>
    <xf numFmtId="0" fontId="59" fillId="50" borderId="0" applyNumberFormat="0" applyBorder="0" applyAlignment="0" applyProtection="0"/>
    <xf numFmtId="4" fontId="26" fillId="12" borderId="82" applyNumberFormat="0" applyProtection="0">
      <alignment horizontal="right" vertical="center"/>
    </xf>
    <xf numFmtId="4" fontId="26" fillId="8" borderId="82" applyNumberFormat="0" applyProtection="0">
      <alignment horizontal="right" vertical="center"/>
    </xf>
    <xf numFmtId="4" fontId="26" fillId="17" borderId="82" applyNumberFormat="0" applyProtection="0">
      <alignment horizontal="right" vertical="center"/>
    </xf>
    <xf numFmtId="0" fontId="59" fillId="38" borderId="0" applyNumberFormat="0" applyBorder="0" applyAlignment="0" applyProtection="0"/>
    <xf numFmtId="0" fontId="121" fillId="17" borderId="72" applyNumberFormat="0" applyProtection="0">
      <alignment horizontal="left" vertical="top" indent="1"/>
    </xf>
    <xf numFmtId="190" fontId="16" fillId="64" borderId="72" applyNumberFormat="0" applyProtection="0">
      <alignment horizontal="right" vertical="center"/>
    </xf>
    <xf numFmtId="4" fontId="138" fillId="3" borderId="70" applyNumberFormat="0" applyProtection="0">
      <alignment vertical="center"/>
    </xf>
    <xf numFmtId="0" fontId="59" fillId="42" borderId="0" applyNumberFormat="0" applyBorder="0" applyAlignment="0" applyProtection="0"/>
    <xf numFmtId="4" fontId="26" fillId="90" borderId="70" applyNumberFormat="0" applyProtection="0">
      <alignment horizontal="left" vertical="center" indent="1"/>
    </xf>
    <xf numFmtId="0" fontId="59" fillId="54" borderId="0" applyNumberFormat="0" applyBorder="0" applyAlignment="0" applyProtection="0"/>
    <xf numFmtId="4" fontId="26" fillId="2" borderId="70" applyNumberFormat="0" applyProtection="0">
      <alignment vertical="center"/>
    </xf>
    <xf numFmtId="0" fontId="59" fillId="46" borderId="0" applyNumberFormat="0" applyBorder="0" applyAlignment="0" applyProtection="0"/>
    <xf numFmtId="4" fontId="138" fillId="23" borderId="70" applyNumberFormat="0" applyProtection="0">
      <alignment horizontal="right" vertical="center"/>
    </xf>
    <xf numFmtId="4" fontId="26" fillId="17" borderId="70" applyNumberFormat="0" applyProtection="0">
      <alignment horizontal="right" vertical="center"/>
    </xf>
    <xf numFmtId="0" fontId="135" fillId="86" borderId="71" applyNumberFormat="0" applyAlignment="0" applyProtection="0"/>
    <xf numFmtId="0" fontId="59" fillId="50" borderId="0" applyNumberFormat="0" applyBorder="0" applyAlignment="0" applyProtection="0"/>
    <xf numFmtId="4" fontId="26" fillId="0" borderId="70" applyNumberFormat="0" applyProtection="0">
      <alignment horizontal="right" vertical="center"/>
    </xf>
    <xf numFmtId="0" fontId="26" fillId="83" borderId="70" applyNumberFormat="0" applyFont="0" applyAlignment="0" applyProtection="0"/>
    <xf numFmtId="0" fontId="59" fillId="54" borderId="0" applyNumberFormat="0" applyBorder="0" applyAlignment="0" applyProtection="0"/>
    <xf numFmtId="0" fontId="121" fillId="97" borderId="72" applyNumberFormat="0" applyProtection="0">
      <alignment horizontal="left" vertical="top" indent="1"/>
    </xf>
    <xf numFmtId="0" fontId="59" fillId="58" borderId="0" applyNumberFormat="0" applyBorder="0" applyAlignment="0" applyProtection="0"/>
    <xf numFmtId="4" fontId="121" fillId="93" borderId="72" applyNumberFormat="0" applyProtection="0">
      <alignment horizontal="left" vertical="center" indent="1"/>
    </xf>
    <xf numFmtId="0" fontId="26" fillId="95" borderId="82" applyNumberFormat="0" applyProtection="0">
      <alignment horizontal="left" vertical="center" indent="1"/>
    </xf>
    <xf numFmtId="0" fontId="59" fillId="38" borderId="0" applyNumberFormat="0" applyBorder="0" applyAlignment="0" applyProtection="0"/>
    <xf numFmtId="4" fontId="26" fillId="13" borderId="70" applyNumberFormat="0" applyProtection="0">
      <alignment horizontal="right" vertical="center"/>
    </xf>
    <xf numFmtId="0" fontId="42" fillId="92" borderId="73" applyBorder="0"/>
    <xf numFmtId="4" fontId="26" fillId="11" borderId="70" applyNumberFormat="0" applyProtection="0">
      <alignment horizontal="right" vertical="center"/>
    </xf>
    <xf numFmtId="0" fontId="26" fillId="15" borderId="72" applyNumberFormat="0" applyProtection="0">
      <alignment horizontal="left" vertical="top" indent="1"/>
    </xf>
    <xf numFmtId="4" fontId="26" fillId="9" borderId="70" applyNumberFormat="0" applyProtection="0">
      <alignment horizontal="right" vertical="center"/>
    </xf>
    <xf numFmtId="0" fontId="26" fillId="95" borderId="72" applyNumberFormat="0" applyProtection="0">
      <alignment horizontal="left" vertical="top" indent="1"/>
    </xf>
    <xf numFmtId="0" fontId="26" fillId="83" borderId="82" applyNumberFormat="0" applyFont="0" applyAlignment="0" applyProtection="0"/>
    <xf numFmtId="0" fontId="26" fillId="17" borderId="72" applyNumberFormat="0" applyProtection="0">
      <alignment horizontal="left" vertical="top" indent="1"/>
    </xf>
    <xf numFmtId="4" fontId="26" fillId="5" borderId="70" applyNumberFormat="0" applyProtection="0">
      <alignment horizontal="right" vertical="center"/>
    </xf>
    <xf numFmtId="0" fontId="26" fillId="92" borderId="72" applyNumberFormat="0" applyProtection="0">
      <alignment horizontal="left" vertical="top" indent="1"/>
    </xf>
    <xf numFmtId="0" fontId="122" fillId="2" borderId="72" applyNumberFormat="0" applyProtection="0">
      <alignment horizontal="left" vertical="top" indent="1"/>
    </xf>
    <xf numFmtId="0" fontId="26" fillId="15" borderId="82" applyNumberFormat="0" applyProtection="0">
      <alignment horizontal="left" vertical="center" indent="1"/>
    </xf>
    <xf numFmtId="4" fontId="121" fillId="97" borderId="72" applyNumberFormat="0" applyProtection="0">
      <alignment vertical="center"/>
    </xf>
    <xf numFmtId="4" fontId="26" fillId="12" borderId="70" applyNumberFormat="0" applyProtection="0">
      <alignment horizontal="right" vertical="center"/>
    </xf>
    <xf numFmtId="190" fontId="16" fillId="4" borderId="72" applyNumberFormat="0" applyProtection="0">
      <alignment horizontal="left" vertical="center" indent="1"/>
    </xf>
    <xf numFmtId="4" fontId="26" fillId="10" borderId="70" applyNumberFormat="0" applyProtection="0">
      <alignment horizontal="right" vertical="center"/>
    </xf>
    <xf numFmtId="0" fontId="26" fillId="15" borderId="70" applyNumberFormat="0" applyProtection="0">
      <alignment horizontal="left" vertical="center" indent="1"/>
    </xf>
    <xf numFmtId="4" fontId="26" fillId="8" borderId="70" applyNumberFormat="0" applyProtection="0">
      <alignment horizontal="right" vertical="center"/>
    </xf>
    <xf numFmtId="0" fontId="26" fillId="95" borderId="70" applyNumberFormat="0" applyProtection="0">
      <alignment horizontal="left" vertical="center" indent="1"/>
    </xf>
    <xf numFmtId="4" fontId="26" fillId="91" borderId="70" applyNumberFormat="0" applyProtection="0">
      <alignment horizontal="right" vertical="center"/>
    </xf>
    <xf numFmtId="0" fontId="26" fillId="94" borderId="70" applyNumberFormat="0" applyProtection="0">
      <alignment horizontal="left" vertical="center" indent="1"/>
    </xf>
    <xf numFmtId="4" fontId="26" fillId="90" borderId="70" applyNumberFormat="0" applyProtection="0">
      <alignment horizontal="left" vertical="center" indent="1"/>
    </xf>
    <xf numFmtId="0" fontId="26" fillId="93" borderId="70" applyNumberFormat="0" applyProtection="0">
      <alignment horizontal="left" vertical="center" indent="1"/>
    </xf>
    <xf numFmtId="4" fontId="26" fillId="3" borderId="70" applyNumberFormat="0" applyProtection="0">
      <alignment horizontal="left" vertical="center" indent="1"/>
    </xf>
    <xf numFmtId="0" fontId="133" fillId="84" borderId="76" applyNumberFormat="0" applyAlignment="0" applyProtection="0"/>
    <xf numFmtId="0" fontId="133" fillId="84" borderId="70" applyNumberFormat="0" applyAlignment="0" applyProtection="0"/>
    <xf numFmtId="0" fontId="59" fillId="54" borderId="0" applyNumberFormat="0" applyBorder="0" applyAlignment="0" applyProtection="0"/>
    <xf numFmtId="0" fontId="59" fillId="58" borderId="0" applyNumberFormat="0" applyBorder="0" applyAlignment="0" applyProtection="0"/>
    <xf numFmtId="0" fontId="127" fillId="86" borderId="82" applyNumberFormat="0" applyAlignment="0" applyProtection="0"/>
    <xf numFmtId="0" fontId="127" fillId="86" borderId="70" applyNumberFormat="0" applyAlignment="0" applyProtection="0"/>
    <xf numFmtId="4" fontId="138" fillId="3" borderId="82" applyNumberFormat="0" applyProtection="0">
      <alignment vertical="center"/>
    </xf>
    <xf numFmtId="4" fontId="26" fillId="2" borderId="82" applyNumberFormat="0" applyProtection="0">
      <alignment vertical="center"/>
    </xf>
    <xf numFmtId="4" fontId="26" fillId="91" borderId="82" applyNumberFormat="0" applyProtection="0">
      <alignment horizontal="right" vertical="center"/>
    </xf>
    <xf numFmtId="4" fontId="26" fillId="90" borderId="82" applyNumberFormat="0" applyProtection="0">
      <alignment horizontal="left" vertical="center" indent="1"/>
    </xf>
    <xf numFmtId="4" fontId="26" fillId="10" borderId="82" applyNumberFormat="0" applyProtection="0">
      <alignment horizontal="right" vertical="center"/>
    </xf>
    <xf numFmtId="0" fontId="59" fillId="42" borderId="0" applyNumberFormat="0" applyBorder="0" applyAlignment="0" applyProtection="0"/>
    <xf numFmtId="0" fontId="59" fillId="38" borderId="0" applyNumberFormat="0" applyBorder="0" applyAlignment="0" applyProtection="0"/>
    <xf numFmtId="4" fontId="26" fillId="9" borderId="82" applyNumberFormat="0" applyProtection="0">
      <alignment horizontal="right" vertical="center"/>
    </xf>
    <xf numFmtId="0" fontId="59" fillId="54" borderId="0" applyNumberFormat="0" applyBorder="0" applyAlignment="0" applyProtection="0"/>
    <xf numFmtId="4" fontId="26" fillId="11" borderId="82" applyNumberFormat="0" applyProtection="0">
      <alignment horizontal="right" vertical="center"/>
    </xf>
    <xf numFmtId="0" fontId="26" fillId="83" borderId="76" applyNumberFormat="0" applyFont="0" applyAlignment="0" applyProtection="0"/>
    <xf numFmtId="0" fontId="59" fillId="50" borderId="0" applyNumberFormat="0" applyBorder="0" applyAlignment="0" applyProtection="0"/>
    <xf numFmtId="0" fontId="135" fillId="86" borderId="77" applyNumberFormat="0" applyAlignment="0" applyProtection="0"/>
    <xf numFmtId="0" fontId="59" fillId="46" borderId="0" applyNumberFormat="0" applyBorder="0" applyAlignment="0" applyProtection="0"/>
    <xf numFmtId="4" fontId="26" fillId="3" borderId="82" applyNumberFormat="0" applyProtection="0">
      <alignment horizontal="left" vertical="center" indent="1"/>
    </xf>
    <xf numFmtId="4" fontId="26" fillId="2" borderId="76" applyNumberFormat="0" applyProtection="0">
      <alignment vertical="center"/>
    </xf>
    <xf numFmtId="0" fontId="59" fillId="42" borderId="0" applyNumberFormat="0" applyBorder="0" applyAlignment="0" applyProtection="0"/>
    <xf numFmtId="4" fontId="138" fillId="3" borderId="76" applyNumberFormat="0" applyProtection="0">
      <alignment vertical="center"/>
    </xf>
    <xf numFmtId="0" fontId="59" fillId="38" borderId="0" applyNumberFormat="0" applyBorder="0" applyAlignment="0" applyProtection="0"/>
    <xf numFmtId="4" fontId="26" fillId="5" borderId="82" applyNumberFormat="0" applyProtection="0">
      <alignment horizontal="right" vertical="center"/>
    </xf>
    <xf numFmtId="0" fontId="59" fillId="50" borderId="0" applyNumberFormat="0" applyBorder="0" applyAlignment="0" applyProtection="0"/>
    <xf numFmtId="4" fontId="26" fillId="0" borderId="70" applyNumberFormat="0" applyProtection="0">
      <alignment horizontal="right" vertical="center"/>
    </xf>
    <xf numFmtId="4" fontId="26" fillId="13" borderId="82" applyNumberFormat="0" applyProtection="0">
      <alignment horizontal="right" vertical="center"/>
    </xf>
    <xf numFmtId="4" fontId="16" fillId="15" borderId="72" applyNumberFormat="0" applyProtection="0">
      <alignment horizontal="right" vertical="center"/>
    </xf>
    <xf numFmtId="0" fontId="59" fillId="42" borderId="0" applyNumberFormat="0" applyBorder="0" applyAlignment="0" applyProtection="0"/>
    <xf numFmtId="4" fontId="26" fillId="0" borderId="82" applyNumberFormat="0" applyProtection="0">
      <alignment horizontal="right" vertical="center"/>
    </xf>
    <xf numFmtId="4" fontId="109" fillId="96" borderId="70" applyNumberFormat="0" applyProtection="0">
      <alignment horizontal="right" vertical="center"/>
    </xf>
    <xf numFmtId="0" fontId="129" fillId="0" borderId="74" applyNumberFormat="0" applyFill="0" applyAlignment="0" applyProtection="0"/>
    <xf numFmtId="4" fontId="26" fillId="3" borderId="76" applyNumberFormat="0" applyProtection="0">
      <alignment horizontal="left" vertical="center" indent="1"/>
    </xf>
    <xf numFmtId="0" fontId="122" fillId="2" borderId="78" applyNumberFormat="0" applyProtection="0">
      <alignment horizontal="left" vertical="top" indent="1"/>
    </xf>
    <xf numFmtId="4" fontId="26" fillId="90" borderId="76" applyNumberFormat="0" applyProtection="0">
      <alignment horizontal="left" vertical="center" indent="1"/>
    </xf>
    <xf numFmtId="4" fontId="26" fillId="5" borderId="76" applyNumberFormat="0" applyProtection="0">
      <alignment horizontal="right" vertical="center"/>
    </xf>
    <xf numFmtId="4" fontId="26" fillId="91" borderId="76" applyNumberFormat="0" applyProtection="0">
      <alignment horizontal="right" vertical="center"/>
    </xf>
    <xf numFmtId="4" fontId="26" fillId="7" borderId="79" applyNumberFormat="0" applyProtection="0">
      <alignment horizontal="right" vertical="center"/>
    </xf>
    <xf numFmtId="4" fontId="26" fillId="8" borderId="76" applyNumberFormat="0" applyProtection="0">
      <alignment horizontal="right" vertical="center"/>
    </xf>
    <xf numFmtId="4" fontId="26" fillId="9" borderId="76" applyNumberFormat="0" applyProtection="0">
      <alignment horizontal="right" vertical="center"/>
    </xf>
    <xf numFmtId="4" fontId="26" fillId="10" borderId="76" applyNumberFormat="0" applyProtection="0">
      <alignment horizontal="right" vertical="center"/>
    </xf>
    <xf numFmtId="4" fontId="26" fillId="11" borderId="76" applyNumberFormat="0" applyProtection="0">
      <alignment horizontal="right" vertical="center"/>
    </xf>
    <xf numFmtId="4" fontId="26" fillId="12" borderId="76" applyNumberFormat="0" applyProtection="0">
      <alignment horizontal="right" vertical="center"/>
    </xf>
    <xf numFmtId="4" fontId="26" fillId="13" borderId="76" applyNumberFormat="0" applyProtection="0">
      <alignment horizontal="right" vertical="center"/>
    </xf>
    <xf numFmtId="4" fontId="26" fillId="14" borderId="79" applyNumberFormat="0" applyProtection="0">
      <alignment horizontal="left" vertical="center" indent="1"/>
    </xf>
    <xf numFmtId="4" fontId="6" fillId="92" borderId="79" applyNumberFormat="0" applyProtection="0">
      <alignment horizontal="left" vertical="center" indent="1"/>
    </xf>
    <xf numFmtId="4" fontId="6" fillId="92" borderId="79" applyNumberFormat="0" applyProtection="0">
      <alignment horizontal="left" vertical="center" indent="1"/>
    </xf>
    <xf numFmtId="4" fontId="26" fillId="17" borderId="76" applyNumberFormat="0" applyProtection="0">
      <alignment horizontal="right" vertical="center"/>
    </xf>
    <xf numFmtId="4" fontId="26" fillId="15" borderId="79" applyNumberFormat="0" applyProtection="0">
      <alignment horizontal="left" vertical="center" indent="1"/>
    </xf>
    <xf numFmtId="4" fontId="26" fillId="17" borderId="79" applyNumberFormat="0" applyProtection="0">
      <alignment horizontal="left" vertical="center" indent="1"/>
    </xf>
    <xf numFmtId="0" fontId="26" fillId="93" borderId="76" applyNumberFormat="0" applyProtection="0">
      <alignment horizontal="left" vertical="center" indent="1"/>
    </xf>
    <xf numFmtId="0" fontId="26" fillId="92" borderId="78" applyNumberFormat="0" applyProtection="0">
      <alignment horizontal="left" vertical="top" indent="1"/>
    </xf>
    <xf numFmtId="0" fontId="26" fillId="94" borderId="76" applyNumberFormat="0" applyProtection="0">
      <alignment horizontal="left" vertical="center" indent="1"/>
    </xf>
    <xf numFmtId="0" fontId="26" fillId="17" borderId="78" applyNumberFormat="0" applyProtection="0">
      <alignment horizontal="left" vertical="top" indent="1"/>
    </xf>
    <xf numFmtId="0" fontId="26" fillId="95" borderId="76" applyNumberFormat="0" applyProtection="0">
      <alignment horizontal="left" vertical="center" indent="1"/>
    </xf>
    <xf numFmtId="0" fontId="26" fillId="95" borderId="78" applyNumberFormat="0" applyProtection="0">
      <alignment horizontal="left" vertical="top" indent="1"/>
    </xf>
    <xf numFmtId="0" fontId="26" fillId="15" borderId="76" applyNumberFormat="0" applyProtection="0">
      <alignment horizontal="left" vertical="center" indent="1"/>
    </xf>
    <xf numFmtId="0" fontId="26" fillId="15" borderId="78" applyNumberFormat="0" applyProtection="0">
      <alignment horizontal="left" vertical="top" indent="1"/>
    </xf>
    <xf numFmtId="0" fontId="42" fillId="92" borderId="80" applyBorder="0"/>
    <xf numFmtId="4" fontId="121" fillId="97" borderId="78" applyNumberFormat="0" applyProtection="0">
      <alignment vertical="center"/>
    </xf>
    <xf numFmtId="4" fontId="138" fillId="20" borderId="75" applyNumberFormat="0" applyProtection="0">
      <alignment vertical="center"/>
    </xf>
    <xf numFmtId="4" fontId="121" fillId="93" borderId="78" applyNumberFormat="0" applyProtection="0">
      <alignment horizontal="left" vertical="center" indent="1"/>
    </xf>
    <xf numFmtId="0" fontId="121" fillId="97" borderId="78" applyNumberFormat="0" applyProtection="0">
      <alignment horizontal="left" vertical="top" indent="1"/>
    </xf>
    <xf numFmtId="4" fontId="26" fillId="0" borderId="76" applyNumberFormat="0" applyProtection="0">
      <alignment horizontal="right" vertical="center"/>
    </xf>
    <xf numFmtId="4" fontId="138" fillId="23" borderId="76" applyNumberFormat="0" applyProtection="0">
      <alignment horizontal="right" vertical="center"/>
    </xf>
    <xf numFmtId="4" fontId="26" fillId="90" borderId="76" applyNumberFormat="0" applyProtection="0">
      <alignment horizontal="left" vertical="center" indent="1"/>
    </xf>
    <xf numFmtId="0" fontId="121" fillId="17" borderId="78" applyNumberFormat="0" applyProtection="0">
      <alignment horizontal="left" vertical="top" indent="1"/>
    </xf>
    <xf numFmtId="4" fontId="123" fillId="21" borderId="79" applyNumberFormat="0" applyProtection="0">
      <alignment horizontal="left" vertical="center" indent="1"/>
    </xf>
    <xf numFmtId="0" fontId="26" fillId="98" borderId="75"/>
    <xf numFmtId="4" fontId="109" fillId="96" borderId="76" applyNumberFormat="0" applyProtection="0">
      <alignment horizontal="right" vertical="center"/>
    </xf>
    <xf numFmtId="0" fontId="129" fillId="0" borderId="81" applyNumberFormat="0" applyFill="0" applyAlignment="0" applyProtection="0"/>
    <xf numFmtId="0" fontId="59" fillId="58"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4" fontId="138" fillId="23" borderId="82" applyNumberFormat="0" applyProtection="0">
      <alignment horizontal="right" vertical="center"/>
    </xf>
    <xf numFmtId="4" fontId="26" fillId="90" borderId="82" applyNumberFormat="0" applyProtection="0">
      <alignment horizontal="left" vertical="center" indent="1"/>
    </xf>
    <xf numFmtId="4" fontId="109" fillId="96" borderId="82" applyNumberFormat="0" applyProtection="0">
      <alignment horizontal="right" vertical="center"/>
    </xf>
    <xf numFmtId="0" fontId="3" fillId="0" borderId="0"/>
    <xf numFmtId="0" fontId="59" fillId="54" borderId="0" applyNumberFormat="0" applyBorder="0" applyAlignment="0" applyProtection="0"/>
    <xf numFmtId="4" fontId="26" fillId="5" borderId="89" applyNumberFormat="0" applyProtection="0">
      <alignment horizontal="right" vertical="center"/>
    </xf>
    <xf numFmtId="0" fontId="133" fillId="84" borderId="89" applyNumberFormat="0" applyAlignment="0" applyProtection="0"/>
    <xf numFmtId="0" fontId="59" fillId="58" borderId="0" applyNumberFormat="0" applyBorder="0" applyAlignment="0" applyProtection="0"/>
    <xf numFmtId="0" fontId="59" fillId="58" borderId="0" applyNumberFormat="0" applyBorder="0" applyAlignment="0" applyProtection="0"/>
    <xf numFmtId="190" fontId="3" fillId="0" borderId="0"/>
    <xf numFmtId="190" fontId="3" fillId="0" borderId="0"/>
    <xf numFmtId="4" fontId="26" fillId="0" borderId="82" applyNumberFormat="0" applyProtection="0">
      <alignment horizontal="right" vertical="center"/>
    </xf>
    <xf numFmtId="4" fontId="16" fillId="15" borderId="78" applyNumberFormat="0" applyProtection="0">
      <alignment horizontal="right" vertical="center"/>
    </xf>
    <xf numFmtId="169" fontId="3" fillId="0" borderId="0" applyFont="0" applyFill="0" applyBorder="0" applyAlignment="0" applyProtection="0"/>
    <xf numFmtId="9" fontId="3" fillId="0" borderId="0" applyFont="0" applyFill="0" applyBorder="0" applyAlignment="0" applyProtection="0"/>
    <xf numFmtId="190" fontId="16" fillId="4" borderId="78" applyNumberFormat="0" applyProtection="0">
      <alignment horizontal="left" vertical="center" indent="1"/>
    </xf>
    <xf numFmtId="190" fontId="16" fillId="64" borderId="78" applyNumberFormat="0" applyProtection="0">
      <alignment horizontal="right" vertical="center"/>
    </xf>
    <xf numFmtId="189" fontId="3" fillId="0" borderId="0" applyFont="0" applyFill="0" applyBorder="0" applyAlignment="0" applyProtection="0"/>
    <xf numFmtId="0" fontId="26" fillId="15" borderId="98" applyNumberFormat="0" applyProtection="0">
      <alignment horizontal="left" vertical="top" indent="1"/>
    </xf>
    <xf numFmtId="4" fontId="26" fillId="90" borderId="83" applyNumberFormat="0" applyProtection="0">
      <alignment horizontal="left" vertical="center" indent="1"/>
    </xf>
    <xf numFmtId="0" fontId="59" fillId="38" borderId="0" applyNumberFormat="0" applyBorder="0" applyAlignment="0" applyProtection="0"/>
    <xf numFmtId="0" fontId="59" fillId="54" borderId="0" applyNumberFormat="0" applyBorder="0" applyAlignment="0" applyProtection="0"/>
    <xf numFmtId="0" fontId="59" fillId="38" borderId="0" applyNumberFormat="0" applyBorder="0" applyAlignment="0" applyProtection="0"/>
    <xf numFmtId="4" fontId="26" fillId="90" borderId="96" applyNumberFormat="0" applyProtection="0">
      <alignment horizontal="left" vertical="center" indent="1"/>
    </xf>
    <xf numFmtId="4" fontId="26" fillId="13" borderId="89" applyNumberFormat="0" applyProtection="0">
      <alignment horizontal="right" vertical="center"/>
    </xf>
    <xf numFmtId="0" fontId="59" fillId="46" borderId="0" applyNumberFormat="0" applyBorder="0" applyAlignment="0" applyProtection="0"/>
    <xf numFmtId="0" fontId="59" fillId="46" borderId="0" applyNumberFormat="0" applyBorder="0" applyAlignment="0" applyProtection="0"/>
    <xf numFmtId="4" fontId="26" fillId="8" borderId="89" applyNumberFormat="0" applyProtection="0">
      <alignment horizontal="right" vertical="center"/>
    </xf>
    <xf numFmtId="0" fontId="26" fillId="94" borderId="96" applyNumberFormat="0" applyProtection="0">
      <alignment horizontal="left" vertical="center" indent="1"/>
    </xf>
    <xf numFmtId="4" fontId="26" fillId="17" borderId="86" applyNumberFormat="0" applyProtection="0">
      <alignment horizontal="left" vertical="center" indent="1"/>
    </xf>
    <xf numFmtId="4" fontId="26" fillId="14" borderId="105" applyNumberFormat="0" applyProtection="0">
      <alignment horizontal="left" vertical="center" indent="1"/>
    </xf>
    <xf numFmtId="0" fontId="59" fillId="38" borderId="0" applyNumberFormat="0" applyBorder="0" applyAlignment="0" applyProtection="0"/>
    <xf numFmtId="0" fontId="26" fillId="95" borderId="102" applyNumberFormat="0" applyProtection="0">
      <alignment horizontal="left" vertical="center" indent="1"/>
    </xf>
    <xf numFmtId="0" fontId="59" fillId="54" borderId="0" applyNumberFormat="0" applyBorder="0" applyAlignment="0" applyProtection="0"/>
    <xf numFmtId="0" fontId="59" fillId="50" borderId="0" applyNumberFormat="0" applyBorder="0" applyAlignment="0" applyProtection="0"/>
    <xf numFmtId="0" fontId="59" fillId="42" borderId="0" applyNumberFormat="0" applyBorder="0" applyAlignment="0" applyProtection="0"/>
    <xf numFmtId="0" fontId="26" fillId="15" borderId="83" applyNumberFormat="0" applyProtection="0">
      <alignment horizontal="left" vertical="center" indent="1"/>
    </xf>
    <xf numFmtId="0" fontId="59" fillId="46" borderId="0" applyNumberFormat="0" applyBorder="0" applyAlignment="0" applyProtection="0"/>
    <xf numFmtId="0" fontId="59" fillId="38" borderId="0" applyNumberFormat="0" applyBorder="0" applyAlignment="0" applyProtection="0"/>
    <xf numFmtId="4" fontId="26" fillId="8" borderId="83" applyNumberFormat="0" applyProtection="0">
      <alignment horizontal="right" vertical="center"/>
    </xf>
    <xf numFmtId="0" fontId="59" fillId="50" borderId="0" applyNumberFormat="0" applyBorder="0" applyAlignment="0" applyProtection="0"/>
    <xf numFmtId="4" fontId="121" fillId="97" borderId="85" applyNumberFormat="0" applyProtection="0">
      <alignment vertical="center"/>
    </xf>
    <xf numFmtId="4" fontId="26" fillId="17" borderId="102" applyNumberFormat="0" applyProtection="0">
      <alignment horizontal="right" vertical="center"/>
    </xf>
    <xf numFmtId="0" fontId="59" fillId="54" borderId="0" applyNumberFormat="0" applyBorder="0" applyAlignment="0" applyProtection="0"/>
    <xf numFmtId="4" fontId="26" fillId="12" borderId="83" applyNumberFormat="0" applyProtection="0">
      <alignment horizontal="right" vertical="center"/>
    </xf>
    <xf numFmtId="0" fontId="59" fillId="42" borderId="0" applyNumberFormat="0" applyBorder="0" applyAlignment="0" applyProtection="0"/>
    <xf numFmtId="4" fontId="26" fillId="10" borderId="96" applyNumberFormat="0" applyProtection="0">
      <alignment horizontal="right" vertical="center"/>
    </xf>
    <xf numFmtId="0" fontId="59" fillId="58" borderId="0" applyNumberFormat="0" applyBorder="0" applyAlignment="0" applyProtection="0"/>
    <xf numFmtId="0" fontId="122" fillId="2" borderId="98" applyNumberFormat="0" applyProtection="0">
      <alignment horizontal="left" vertical="top" indent="1"/>
    </xf>
    <xf numFmtId="0" fontId="59" fillId="42" borderId="0" applyNumberFormat="0" applyBorder="0" applyAlignment="0" applyProtection="0"/>
    <xf numFmtId="0" fontId="59" fillId="54" borderId="0" applyNumberFormat="0" applyBorder="0" applyAlignment="0" applyProtection="0"/>
    <xf numFmtId="4" fontId="26" fillId="15" borderId="86" applyNumberFormat="0" applyProtection="0">
      <alignment horizontal="left" vertical="center" indent="1"/>
    </xf>
    <xf numFmtId="0" fontId="26" fillId="15" borderId="89" applyNumberFormat="0" applyProtection="0">
      <alignment horizontal="left" vertical="center" indent="1"/>
    </xf>
    <xf numFmtId="4" fontId="26" fillId="7" borderId="99" applyNumberFormat="0" applyProtection="0">
      <alignment horizontal="right" vertical="center"/>
    </xf>
    <xf numFmtId="4" fontId="26" fillId="11" borderId="96" applyNumberFormat="0" applyProtection="0">
      <alignment horizontal="right" vertical="center"/>
    </xf>
    <xf numFmtId="0" fontId="59" fillId="42" borderId="0" applyNumberFormat="0" applyBorder="0" applyAlignment="0" applyProtection="0"/>
    <xf numFmtId="4" fontId="26" fillId="11" borderId="83" applyNumberFormat="0" applyProtection="0">
      <alignment horizontal="right" vertical="center"/>
    </xf>
    <xf numFmtId="0" fontId="26" fillId="92" borderId="85" applyNumberFormat="0" applyProtection="0">
      <alignment horizontal="left" vertical="top" indent="1"/>
    </xf>
    <xf numFmtId="0" fontId="59" fillId="46" borderId="0" applyNumberFormat="0" applyBorder="0" applyAlignment="0" applyProtection="0"/>
    <xf numFmtId="0" fontId="135" fillId="86" borderId="84" applyNumberFormat="0" applyAlignment="0" applyProtection="0"/>
    <xf numFmtId="4" fontId="26" fillId="10" borderId="83" applyNumberFormat="0" applyProtection="0">
      <alignment horizontal="right" vertical="center"/>
    </xf>
    <xf numFmtId="0" fontId="133" fillId="84" borderId="83" applyNumberFormat="0" applyAlignment="0" applyProtection="0"/>
    <xf numFmtId="0" fontId="59" fillId="50" borderId="0" applyNumberFormat="0" applyBorder="0" applyAlignment="0" applyProtection="0"/>
    <xf numFmtId="0" fontId="127" fillId="86" borderId="83" applyNumberFormat="0" applyAlignment="0" applyProtection="0"/>
    <xf numFmtId="4" fontId="26" fillId="9" borderId="83" applyNumberFormat="0" applyProtection="0">
      <alignment horizontal="right" vertical="center"/>
    </xf>
    <xf numFmtId="0" fontId="59" fillId="58" borderId="0" applyNumberFormat="0" applyBorder="0" applyAlignment="0" applyProtection="0"/>
    <xf numFmtId="0" fontId="42" fillId="92" borderId="100" applyBorder="0"/>
    <xf numFmtId="0" fontId="26" fillId="15" borderId="91" applyNumberFormat="0" applyProtection="0">
      <alignment horizontal="left" vertical="top" indent="1"/>
    </xf>
    <xf numFmtId="0" fontId="59" fillId="54" borderId="0" applyNumberFormat="0" applyBorder="0" applyAlignment="0" applyProtection="0"/>
    <xf numFmtId="0" fontId="42" fillId="92" borderId="87" applyBorder="0"/>
    <xf numFmtId="0" fontId="26" fillId="17" borderId="85" applyNumberFormat="0" applyProtection="0">
      <alignment horizontal="left" vertical="top" indent="1"/>
    </xf>
    <xf numFmtId="4" fontId="138" fillId="3" borderId="83" applyNumberFormat="0" applyProtection="0">
      <alignment vertical="center"/>
    </xf>
    <xf numFmtId="4" fontId="26" fillId="0" borderId="89" applyNumberFormat="0" applyProtection="0">
      <alignment horizontal="right" vertical="center"/>
    </xf>
    <xf numFmtId="4" fontId="26" fillId="5" borderId="102" applyNumberFormat="0" applyProtection="0">
      <alignment horizontal="right" vertical="center"/>
    </xf>
    <xf numFmtId="0" fontId="26" fillId="92" borderId="98" applyNumberFormat="0" applyProtection="0">
      <alignment horizontal="left" vertical="top" indent="1"/>
    </xf>
    <xf numFmtId="0" fontId="26" fillId="15" borderId="85" applyNumberFormat="0" applyProtection="0">
      <alignment horizontal="left" vertical="top" indent="1"/>
    </xf>
    <xf numFmtId="4" fontId="26" fillId="10" borderId="102" applyNumberFormat="0" applyProtection="0">
      <alignment horizontal="right" vertical="center"/>
    </xf>
    <xf numFmtId="0" fontId="59" fillId="50" borderId="0" applyNumberFormat="0" applyBorder="0" applyAlignment="0" applyProtection="0"/>
    <xf numFmtId="0" fontId="59" fillId="50" borderId="0" applyNumberFormat="0" applyBorder="0" applyAlignment="0" applyProtection="0"/>
    <xf numFmtId="165" fontId="3" fillId="0" borderId="0" applyFont="0" applyFill="0" applyBorder="0" applyAlignment="0" applyProtection="0"/>
    <xf numFmtId="0" fontId="59" fillId="58" borderId="0" applyNumberFormat="0" applyBorder="0" applyAlignment="0" applyProtection="0"/>
    <xf numFmtId="0" fontId="26" fillId="15" borderId="96" applyNumberFormat="0" applyProtection="0">
      <alignment horizontal="left" vertical="center" indent="1"/>
    </xf>
    <xf numFmtId="4" fontId="26" fillId="8" borderId="96" applyNumberFormat="0" applyProtection="0">
      <alignment horizontal="right" vertical="center"/>
    </xf>
    <xf numFmtId="0" fontId="42" fillId="92" borderId="93" applyBorder="0"/>
    <xf numFmtId="4" fontId="16" fillId="15" borderId="91" applyNumberFormat="0" applyProtection="0">
      <alignment horizontal="right" vertical="center"/>
    </xf>
    <xf numFmtId="4" fontId="26" fillId="11" borderId="89" applyNumberFormat="0" applyProtection="0">
      <alignment horizontal="right" vertical="center"/>
    </xf>
    <xf numFmtId="4" fontId="26" fillId="90" borderId="102" applyNumberFormat="0" applyProtection="0">
      <alignment horizontal="left" vertical="center" indent="1"/>
    </xf>
    <xf numFmtId="0" fontId="26" fillId="95" borderId="89" applyNumberFormat="0" applyProtection="0">
      <alignment horizontal="left" vertical="center" indent="1"/>
    </xf>
    <xf numFmtId="0" fontId="26" fillId="95" borderId="96" applyNumberFormat="0" applyProtection="0">
      <alignment horizontal="left" vertical="center" indent="1"/>
    </xf>
    <xf numFmtId="0" fontId="59" fillId="42" borderId="0" applyNumberFormat="0" applyBorder="0" applyAlignment="0" applyProtection="0"/>
    <xf numFmtId="0" fontId="59" fillId="58" borderId="0" applyNumberFormat="0" applyBorder="0" applyAlignment="0" applyProtection="0"/>
    <xf numFmtId="0" fontId="59" fillId="38" borderId="0" applyNumberFormat="0" applyBorder="0" applyAlignment="0" applyProtection="0"/>
    <xf numFmtId="0" fontId="127" fillId="86" borderId="89" applyNumberFormat="0" applyAlignment="0" applyProtection="0"/>
    <xf numFmtId="0" fontId="59" fillId="58" borderId="0" applyNumberFormat="0" applyBorder="0" applyAlignment="0" applyProtection="0"/>
    <xf numFmtId="0" fontId="26" fillId="95" borderId="85" applyNumberFormat="0" applyProtection="0">
      <alignment horizontal="left" vertical="top" indent="1"/>
    </xf>
    <xf numFmtId="0" fontId="26" fillId="95" borderId="83" applyNumberFormat="0" applyProtection="0">
      <alignment horizontal="left" vertical="center" indent="1"/>
    </xf>
    <xf numFmtId="4" fontId="26" fillId="91" borderId="83" applyNumberFormat="0" applyProtection="0">
      <alignment horizontal="right" vertical="center"/>
    </xf>
    <xf numFmtId="0" fontId="59" fillId="46" borderId="0" applyNumberFormat="0" applyBorder="0" applyAlignment="0" applyProtection="0"/>
    <xf numFmtId="4" fontId="26" fillId="9" borderId="96" applyNumberFormat="0" applyProtection="0">
      <alignment horizontal="right" vertical="center"/>
    </xf>
    <xf numFmtId="0" fontId="59" fillId="54"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50" borderId="0" applyNumberFormat="0" applyBorder="0" applyAlignment="0" applyProtection="0"/>
    <xf numFmtId="4" fontId="26" fillId="12" borderId="96" applyNumberFormat="0" applyProtection="0">
      <alignment horizontal="right" vertical="center"/>
    </xf>
    <xf numFmtId="0" fontId="26" fillId="94" borderId="83" applyNumberFormat="0" applyProtection="0">
      <alignment horizontal="left" vertical="center" indent="1"/>
    </xf>
    <xf numFmtId="4" fontId="26" fillId="90" borderId="89" applyNumberFormat="0" applyProtection="0">
      <alignment horizontal="left" vertical="center" indent="1"/>
    </xf>
    <xf numFmtId="0" fontId="59" fillId="50" borderId="0" applyNumberFormat="0" applyBorder="0" applyAlignment="0" applyProtection="0"/>
    <xf numFmtId="4" fontId="26" fillId="91" borderId="89" applyNumberFormat="0" applyProtection="0">
      <alignment horizontal="right" vertical="center"/>
    </xf>
    <xf numFmtId="0" fontId="135" fillId="86" borderId="97" applyNumberFormat="0" applyAlignment="0" applyProtection="0"/>
    <xf numFmtId="4" fontId="26" fillId="3" borderId="83" applyNumberFormat="0" applyProtection="0">
      <alignment horizontal="left" vertical="center" indent="1"/>
    </xf>
    <xf numFmtId="4" fontId="26" fillId="91" borderId="96" applyNumberFormat="0" applyProtection="0">
      <alignment horizontal="right" vertical="center"/>
    </xf>
    <xf numFmtId="0" fontId="59" fillId="58"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46" borderId="0" applyNumberFormat="0" applyBorder="0" applyAlignment="0" applyProtection="0"/>
    <xf numFmtId="0" fontId="59" fillId="50" borderId="0" applyNumberFormat="0" applyBorder="0" applyAlignment="0" applyProtection="0"/>
    <xf numFmtId="4" fontId="138" fillId="23" borderId="102" applyNumberFormat="0" applyProtection="0">
      <alignment horizontal="right" vertical="center"/>
    </xf>
    <xf numFmtId="0" fontId="133" fillId="84" borderId="102" applyNumberFormat="0" applyAlignment="0" applyProtection="0"/>
    <xf numFmtId="0" fontId="59" fillId="42" borderId="0" applyNumberFormat="0" applyBorder="0" applyAlignment="0" applyProtection="0"/>
    <xf numFmtId="4" fontId="121" fillId="93" borderId="91" applyNumberFormat="0" applyProtection="0">
      <alignment horizontal="left" vertical="center" indent="1"/>
    </xf>
    <xf numFmtId="4" fontId="26" fillId="12" borderId="102" applyNumberFormat="0" applyProtection="0">
      <alignment horizontal="right" vertical="center"/>
    </xf>
    <xf numFmtId="0" fontId="59" fillId="54" borderId="0" applyNumberFormat="0" applyBorder="0" applyAlignment="0" applyProtection="0"/>
    <xf numFmtId="0" fontId="59" fillId="38" borderId="0" applyNumberFormat="0" applyBorder="0" applyAlignment="0" applyProtection="0"/>
    <xf numFmtId="4" fontId="26" fillId="3" borderId="96" applyNumberFormat="0" applyProtection="0">
      <alignment horizontal="left" vertical="center" indent="1"/>
    </xf>
    <xf numFmtId="4" fontId="26" fillId="3" borderId="102" applyNumberFormat="0" applyProtection="0">
      <alignment horizontal="left" vertical="center" indent="1"/>
    </xf>
    <xf numFmtId="0" fontId="26" fillId="95" borderId="98" applyNumberFormat="0" applyProtection="0">
      <alignment horizontal="left" vertical="top" indent="1"/>
    </xf>
    <xf numFmtId="4" fontId="26" fillId="5" borderId="83" applyNumberFormat="0" applyProtection="0">
      <alignment horizontal="right" vertical="center"/>
    </xf>
    <xf numFmtId="4" fontId="121" fillId="97" borderId="98" applyNumberFormat="0" applyProtection="0">
      <alignment vertical="center"/>
    </xf>
    <xf numFmtId="0" fontId="26" fillId="93" borderId="89" applyNumberFormat="0" applyProtection="0">
      <alignment horizontal="left" vertical="center" indent="1"/>
    </xf>
    <xf numFmtId="0" fontId="122" fillId="2" borderId="85" applyNumberFormat="0" applyProtection="0">
      <alignment horizontal="left" vertical="top" indent="1"/>
    </xf>
    <xf numFmtId="0" fontId="26" fillId="94" borderId="89" applyNumberFormat="0" applyProtection="0">
      <alignment horizontal="left" vertical="center" indent="1"/>
    </xf>
    <xf numFmtId="4" fontId="26" fillId="17" borderId="99" applyNumberFormat="0" applyProtection="0">
      <alignment horizontal="left" vertical="center" indent="1"/>
    </xf>
    <xf numFmtId="4" fontId="26" fillId="17" borderId="83" applyNumberFormat="0" applyProtection="0">
      <alignment horizontal="right" vertical="center"/>
    </xf>
    <xf numFmtId="4" fontId="6" fillId="92" borderId="86" applyNumberFormat="0" applyProtection="0">
      <alignment horizontal="left" vertical="center" indent="1"/>
    </xf>
    <xf numFmtId="4" fontId="26" fillId="13" borderId="83" applyNumberFormat="0" applyProtection="0">
      <alignment horizontal="right" vertical="center"/>
    </xf>
    <xf numFmtId="0" fontId="26" fillId="93" borderId="96" applyNumberFormat="0" applyProtection="0">
      <alignment horizontal="left" vertical="center" indent="1"/>
    </xf>
    <xf numFmtId="0" fontId="59" fillId="50" borderId="0" applyNumberFormat="0" applyBorder="0" applyAlignment="0" applyProtection="0"/>
    <xf numFmtId="4" fontId="26" fillId="9" borderId="89" applyNumberFormat="0" applyProtection="0">
      <alignment horizontal="right" vertical="center"/>
    </xf>
    <xf numFmtId="4" fontId="6" fillId="92" borderId="99" applyNumberFormat="0" applyProtection="0">
      <alignment horizontal="left" vertical="center" indent="1"/>
    </xf>
    <xf numFmtId="4" fontId="26" fillId="0" borderId="102" applyNumberFormat="0" applyProtection="0">
      <alignment horizontal="right" vertical="center"/>
    </xf>
    <xf numFmtId="4" fontId="26" fillId="12" borderId="89" applyNumberFormat="0" applyProtection="0">
      <alignment horizontal="right" vertical="center"/>
    </xf>
    <xf numFmtId="4" fontId="26" fillId="7" borderId="86" applyNumberFormat="0" applyProtection="0">
      <alignment horizontal="right" vertical="center"/>
    </xf>
    <xf numFmtId="0" fontId="26" fillId="95" borderId="91" applyNumberFormat="0" applyProtection="0">
      <alignment horizontal="left" vertical="top" indent="1"/>
    </xf>
    <xf numFmtId="0" fontId="59" fillId="50" borderId="0" applyNumberFormat="0" applyBorder="0" applyAlignment="0" applyProtection="0"/>
    <xf numFmtId="0" fontId="26" fillId="93" borderId="83" applyNumberFormat="0" applyProtection="0">
      <alignment horizontal="left" vertical="center" indent="1"/>
    </xf>
    <xf numFmtId="0" fontId="26" fillId="83" borderId="83" applyNumberFormat="0" applyFont="0" applyAlignment="0" applyProtection="0"/>
    <xf numFmtId="0" fontId="127" fillId="86" borderId="102" applyNumberFormat="0" applyAlignment="0" applyProtection="0"/>
    <xf numFmtId="4" fontId="26" fillId="2" borderId="83" applyNumberFormat="0" applyProtection="0">
      <alignment vertical="center"/>
    </xf>
    <xf numFmtId="4" fontId="6" fillId="92" borderId="86" applyNumberFormat="0" applyProtection="0">
      <alignment horizontal="left" vertical="center" indent="1"/>
    </xf>
    <xf numFmtId="0" fontId="59" fillId="58" borderId="0" applyNumberFormat="0" applyBorder="0" applyAlignment="0" applyProtection="0"/>
    <xf numFmtId="4" fontId="26" fillId="14" borderId="86" applyNumberFormat="0" applyProtection="0">
      <alignment horizontal="left" vertical="center" indent="1"/>
    </xf>
    <xf numFmtId="4" fontId="138" fillId="3" borderId="96" applyNumberFormat="0" applyProtection="0">
      <alignment vertical="center"/>
    </xf>
    <xf numFmtId="0" fontId="26" fillId="83" borderId="96" applyNumberFormat="0" applyFont="0" applyAlignment="0" applyProtection="0"/>
    <xf numFmtId="4" fontId="26" fillId="13" borderId="96" applyNumberFormat="0" applyProtection="0">
      <alignment horizontal="right" vertical="center"/>
    </xf>
    <xf numFmtId="4" fontId="26" fillId="17" borderId="96" applyNumberFormat="0" applyProtection="0">
      <alignment horizontal="right" vertical="center"/>
    </xf>
    <xf numFmtId="0" fontId="59" fillId="38" borderId="0" applyNumberFormat="0" applyBorder="0" applyAlignment="0" applyProtection="0"/>
    <xf numFmtId="0" fontId="26" fillId="17" borderId="98" applyNumberFormat="0" applyProtection="0">
      <alignment horizontal="left" vertical="top" indent="1"/>
    </xf>
    <xf numFmtId="4" fontId="26" fillId="10" borderId="89" applyNumberFormat="0" applyProtection="0">
      <alignment horizontal="right" vertical="center"/>
    </xf>
    <xf numFmtId="0" fontId="26" fillId="17" borderId="91" applyNumberFormat="0" applyProtection="0">
      <alignment horizontal="left" vertical="top" indent="1"/>
    </xf>
    <xf numFmtId="0" fontId="59" fillId="46" borderId="0" applyNumberFormat="0" applyBorder="0" applyAlignment="0" applyProtection="0"/>
    <xf numFmtId="4" fontId="26" fillId="5" borderId="96" applyNumberFormat="0" applyProtection="0">
      <alignment horizontal="right" vertical="center"/>
    </xf>
    <xf numFmtId="4" fontId="26" fillId="3" borderId="89" applyNumberFormat="0" applyProtection="0">
      <alignment horizontal="left" vertical="center" indent="1"/>
    </xf>
    <xf numFmtId="4" fontId="26" fillId="2" borderId="96" applyNumberFormat="0" applyProtection="0">
      <alignment vertical="center"/>
    </xf>
    <xf numFmtId="4" fontId="16" fillId="15" borderId="85" applyNumberFormat="0" applyProtection="0">
      <alignment horizontal="right" vertical="center"/>
    </xf>
    <xf numFmtId="0" fontId="59" fillId="46" borderId="0" applyNumberFormat="0" applyBorder="0" applyAlignment="0" applyProtection="0"/>
    <xf numFmtId="4" fontId="26" fillId="14" borderId="92" applyNumberFormat="0" applyProtection="0">
      <alignment horizontal="left" vertical="center" indent="1"/>
    </xf>
    <xf numFmtId="4" fontId="121" fillId="93" borderId="85" applyNumberFormat="0" applyProtection="0">
      <alignment horizontal="left" vertical="center" indent="1"/>
    </xf>
    <xf numFmtId="0" fontId="121" fillId="97" borderId="85" applyNumberFormat="0" applyProtection="0">
      <alignment horizontal="left" vertical="top" indent="1"/>
    </xf>
    <xf numFmtId="4" fontId="26" fillId="0" borderId="83" applyNumberFormat="0" applyProtection="0">
      <alignment horizontal="right" vertical="center"/>
    </xf>
    <xf numFmtId="4" fontId="138" fillId="23" borderId="83" applyNumberFormat="0" applyProtection="0">
      <alignment horizontal="right" vertical="center"/>
    </xf>
    <xf numFmtId="4" fontId="26" fillId="90" borderId="83" applyNumberFormat="0" applyProtection="0">
      <alignment horizontal="left" vertical="center" indent="1"/>
    </xf>
    <xf numFmtId="0" fontId="121" fillId="17" borderId="85" applyNumberFormat="0" applyProtection="0">
      <alignment horizontal="left" vertical="top" indent="1"/>
    </xf>
    <xf numFmtId="4" fontId="123" fillId="21" borderId="86" applyNumberFormat="0" applyProtection="0">
      <alignment horizontal="left" vertical="center" indent="1"/>
    </xf>
    <xf numFmtId="4" fontId="109" fillId="96" borderId="83" applyNumberFormat="0" applyProtection="0">
      <alignment horizontal="right" vertical="center"/>
    </xf>
    <xf numFmtId="4" fontId="26" fillId="7" borderId="92" applyNumberFormat="0" applyProtection="0">
      <alignment horizontal="right" vertical="center"/>
    </xf>
    <xf numFmtId="0" fontId="129" fillId="0" borderId="88" applyNumberFormat="0" applyFill="0" applyAlignment="0" applyProtection="0"/>
    <xf numFmtId="0" fontId="26" fillId="92" borderId="91" applyNumberFormat="0" applyProtection="0">
      <alignment horizontal="left" vertical="top" indent="1"/>
    </xf>
    <xf numFmtId="4" fontId="121" fillId="97" borderId="91" applyNumberFormat="0" applyProtection="0">
      <alignment vertical="center"/>
    </xf>
    <xf numFmtId="0" fontId="122" fillId="2" borderId="91" applyNumberFormat="0" applyProtection="0">
      <alignment horizontal="left" vertical="top" indent="1"/>
    </xf>
    <xf numFmtId="4" fontId="121" fillId="93" borderId="104" applyNumberFormat="0" applyProtection="0">
      <alignment horizontal="left" vertical="center" indent="1"/>
    </xf>
    <xf numFmtId="0" fontId="26" fillId="83" borderId="102" applyNumberFormat="0" applyFont="0" applyAlignment="0" applyProtection="0"/>
    <xf numFmtId="0" fontId="122" fillId="2" borderId="104" applyNumberFormat="0" applyProtection="0">
      <alignment horizontal="left" vertical="top" indent="1"/>
    </xf>
    <xf numFmtId="4" fontId="6" fillId="92" borderId="92" applyNumberFormat="0" applyProtection="0">
      <alignment horizontal="left" vertical="center" indent="1"/>
    </xf>
    <xf numFmtId="0" fontId="121" fillId="97" borderId="91" applyNumberFormat="0" applyProtection="0">
      <alignment horizontal="left" vertical="top" indent="1"/>
    </xf>
    <xf numFmtId="0" fontId="59" fillId="54" borderId="0" applyNumberFormat="0" applyBorder="0" applyAlignment="0" applyProtection="0"/>
    <xf numFmtId="0" fontId="26" fillId="83" borderId="89" applyNumberFormat="0" applyFont="0" applyAlignment="0" applyProtection="0"/>
    <xf numFmtId="4" fontId="6" fillId="92" borderId="92" applyNumberFormat="0" applyProtection="0">
      <alignment horizontal="left" vertical="center" indent="1"/>
    </xf>
    <xf numFmtId="4" fontId="26" fillId="0" borderId="89" applyNumberFormat="0" applyProtection="0">
      <alignment horizontal="right" vertical="center"/>
    </xf>
    <xf numFmtId="0" fontId="59" fillId="50" borderId="0" applyNumberFormat="0" applyBorder="0" applyAlignment="0" applyProtection="0"/>
    <xf numFmtId="0" fontId="135" fillId="86" borderId="90" applyNumberFormat="0" applyAlignment="0" applyProtection="0"/>
    <xf numFmtId="4" fontId="26" fillId="17" borderId="89" applyNumberFormat="0" applyProtection="0">
      <alignment horizontal="right" vertical="center"/>
    </xf>
    <xf numFmtId="4" fontId="138" fillId="23" borderId="89" applyNumberFormat="0" applyProtection="0">
      <alignment horizontal="right" vertical="center"/>
    </xf>
    <xf numFmtId="0" fontId="59" fillId="46" borderId="0" applyNumberFormat="0" applyBorder="0" applyAlignment="0" applyProtection="0"/>
    <xf numFmtId="4" fontId="26" fillId="2" borderId="89" applyNumberFormat="0" applyProtection="0">
      <alignment vertical="center"/>
    </xf>
    <xf numFmtId="4" fontId="26" fillId="15" borderId="92" applyNumberFormat="0" applyProtection="0">
      <alignment horizontal="left" vertical="center" indent="1"/>
    </xf>
    <xf numFmtId="4" fontId="26" fillId="90" borderId="89" applyNumberFormat="0" applyProtection="0">
      <alignment horizontal="left" vertical="center" indent="1"/>
    </xf>
    <xf numFmtId="0" fontId="59" fillId="42" borderId="0" applyNumberFormat="0" applyBorder="0" applyAlignment="0" applyProtection="0"/>
    <xf numFmtId="4" fontId="138" fillId="3" borderId="89" applyNumberFormat="0" applyProtection="0">
      <alignment vertical="center"/>
    </xf>
    <xf numFmtId="4" fontId="26" fillId="17" borderId="92" applyNumberFormat="0" applyProtection="0">
      <alignment horizontal="left" vertical="center" indent="1"/>
    </xf>
    <xf numFmtId="0" fontId="121" fillId="17" borderId="91" applyNumberFormat="0" applyProtection="0">
      <alignment horizontal="left" vertical="top" indent="1"/>
    </xf>
    <xf numFmtId="0" fontId="59" fillId="38" borderId="0" applyNumberFormat="0" applyBorder="0" applyAlignment="0" applyProtection="0"/>
    <xf numFmtId="190" fontId="16" fillId="4" borderId="91" applyNumberFormat="0" applyProtection="0">
      <alignment horizontal="left" vertical="center" indent="1"/>
    </xf>
    <xf numFmtId="4" fontId="26" fillId="14" borderId="99" applyNumberFormat="0" applyProtection="0">
      <alignment horizontal="left" vertical="center" indent="1"/>
    </xf>
    <xf numFmtId="0" fontId="59" fillId="58" borderId="0" applyNumberFormat="0" applyBorder="0" applyAlignment="0" applyProtection="0"/>
    <xf numFmtId="4" fontId="6" fillId="92" borderId="99" applyNumberFormat="0" applyProtection="0">
      <alignment horizontal="left" vertical="center" indent="1"/>
    </xf>
    <xf numFmtId="0" fontId="59" fillId="42" borderId="0" applyNumberFormat="0" applyBorder="0" applyAlignment="0" applyProtection="0"/>
    <xf numFmtId="0" fontId="127" fillId="86" borderId="96" applyNumberFormat="0" applyAlignment="0" applyProtection="0"/>
    <xf numFmtId="190" fontId="16" fillId="64" borderId="98" applyNumberFormat="0" applyProtection="0">
      <alignment horizontal="right" vertical="center"/>
    </xf>
    <xf numFmtId="4" fontId="26" fillId="15" borderId="99" applyNumberFormat="0" applyProtection="0">
      <alignment horizontal="left" vertical="center" indent="1"/>
    </xf>
    <xf numFmtId="190" fontId="16" fillId="64" borderId="91" applyNumberFormat="0" applyProtection="0">
      <alignment horizontal="right" vertical="center"/>
    </xf>
    <xf numFmtId="4" fontId="6" fillId="92" borderId="105" applyNumberFormat="0" applyProtection="0">
      <alignment horizontal="left" vertical="center" indent="1"/>
    </xf>
    <xf numFmtId="0" fontId="59" fillId="54" borderId="0" applyNumberFormat="0" applyBorder="0" applyAlignment="0" applyProtection="0"/>
    <xf numFmtId="4" fontId="6" fillId="92" borderId="105" applyNumberFormat="0" applyProtection="0">
      <alignment horizontal="left" vertical="center" indent="1"/>
    </xf>
    <xf numFmtId="0" fontId="121" fillId="97" borderId="104" applyNumberFormat="0" applyProtection="0">
      <alignment horizontal="left" vertical="top" indent="1"/>
    </xf>
    <xf numFmtId="190" fontId="16" fillId="4" borderId="85" applyNumberFormat="0" applyProtection="0">
      <alignment horizontal="left" vertical="center" indent="1"/>
    </xf>
    <xf numFmtId="0" fontId="59" fillId="54" borderId="0" applyNumberFormat="0" applyBorder="0" applyAlignment="0" applyProtection="0"/>
    <xf numFmtId="190" fontId="16" fillId="64" borderId="85" applyNumberFormat="0" applyProtection="0">
      <alignment horizontal="right" vertical="center"/>
    </xf>
    <xf numFmtId="0" fontId="133" fillId="84" borderId="96" applyNumberFormat="0" applyAlignment="0" applyProtection="0"/>
    <xf numFmtId="0" fontId="59" fillId="58" borderId="0" applyNumberFormat="0" applyBorder="0" applyAlignment="0" applyProtection="0"/>
    <xf numFmtId="0" fontId="59" fillId="58" borderId="0" applyNumberFormat="0" applyBorder="0" applyAlignment="0" applyProtection="0"/>
    <xf numFmtId="4" fontId="26" fillId="0" borderId="83" applyNumberFormat="0" applyProtection="0">
      <alignment horizontal="right" vertical="center"/>
    </xf>
    <xf numFmtId="4" fontId="138" fillId="3" borderId="102" applyNumberFormat="0" applyProtection="0">
      <alignment vertical="center"/>
    </xf>
    <xf numFmtId="0" fontId="135" fillId="86" borderId="103" applyNumberFormat="0" applyAlignment="0" applyProtection="0"/>
    <xf numFmtId="4" fontId="26" fillId="7" borderId="105" applyNumberFormat="0" applyProtection="0">
      <alignment horizontal="right" vertical="center"/>
    </xf>
    <xf numFmtId="4" fontId="123" fillId="21" borderId="92" applyNumberFormat="0" applyProtection="0">
      <alignment horizontal="left" vertical="center" indent="1"/>
    </xf>
    <xf numFmtId="4" fontId="109" fillId="96" borderId="89" applyNumberFormat="0" applyProtection="0">
      <alignment horizontal="right" vertical="center"/>
    </xf>
    <xf numFmtId="0" fontId="129" fillId="0" borderId="94" applyNumberFormat="0" applyFill="0" applyAlignment="0" applyProtection="0"/>
    <xf numFmtId="0" fontId="26" fillId="15" borderId="104" applyNumberFormat="0" applyProtection="0">
      <alignment horizontal="left" vertical="top" indent="1"/>
    </xf>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50"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38" borderId="0" applyNumberFormat="0" applyBorder="0" applyAlignment="0" applyProtection="0"/>
    <xf numFmtId="0" fontId="59" fillId="42" borderId="0" applyNumberFormat="0" applyBorder="0" applyAlignment="0" applyProtection="0"/>
    <xf numFmtId="4" fontId="26" fillId="91" borderId="102" applyNumberFormat="0" applyProtection="0">
      <alignment horizontal="right" vertical="center"/>
    </xf>
    <xf numFmtId="0" fontId="59" fillId="38" borderId="0" applyNumberFormat="0" applyBorder="0" applyAlignment="0" applyProtection="0"/>
    <xf numFmtId="4" fontId="26" fillId="8" borderId="102" applyNumberFormat="0" applyProtection="0">
      <alignment horizontal="right" vertical="center"/>
    </xf>
    <xf numFmtId="0" fontId="59" fillId="54" borderId="0" applyNumberFormat="0" applyBorder="0" applyAlignment="0" applyProtection="0"/>
    <xf numFmtId="0" fontId="59" fillId="46" borderId="0" applyNumberFormat="0" applyBorder="0" applyAlignment="0" applyProtection="0"/>
    <xf numFmtId="4" fontId="26" fillId="15" borderId="105" applyNumberFormat="0" applyProtection="0">
      <alignment horizontal="left" vertical="center" indent="1"/>
    </xf>
    <xf numFmtId="0" fontId="59" fillId="50" borderId="0" applyNumberFormat="0" applyBorder="0" applyAlignment="0" applyProtection="0"/>
    <xf numFmtId="4" fontId="26" fillId="2" borderId="102" applyNumberFormat="0" applyProtection="0">
      <alignment vertical="center"/>
    </xf>
    <xf numFmtId="0" fontId="26" fillId="94" borderId="102" applyNumberFormat="0" applyProtection="0">
      <alignment horizontal="left" vertical="center" indent="1"/>
    </xf>
    <xf numFmtId="0" fontId="42" fillId="92" borderId="106" applyBorder="0"/>
    <xf numFmtId="4" fontId="138" fillId="20" borderId="95" applyNumberFormat="0" applyProtection="0">
      <alignment vertical="center"/>
    </xf>
    <xf numFmtId="0" fontId="59" fillId="46" borderId="0" applyNumberFormat="0" applyBorder="0" applyAlignment="0" applyProtection="0"/>
    <xf numFmtId="0" fontId="26" fillId="98" borderId="95"/>
    <xf numFmtId="0" fontId="26" fillId="95" borderId="104" applyNumberFormat="0" applyProtection="0">
      <alignment horizontal="left" vertical="top" indent="1"/>
    </xf>
    <xf numFmtId="0" fontId="59" fillId="38" borderId="0" applyNumberFormat="0" applyBorder="0" applyAlignment="0" applyProtection="0"/>
    <xf numFmtId="4" fontId="26" fillId="13" borderId="102" applyNumberFormat="0" applyProtection="0">
      <alignment horizontal="right" vertical="center"/>
    </xf>
    <xf numFmtId="4" fontId="121" fillId="97" borderId="104" applyNumberFormat="0" applyProtection="0">
      <alignment vertical="center"/>
    </xf>
    <xf numFmtId="0" fontId="59" fillId="42" borderId="0" applyNumberFormat="0" applyBorder="0" applyAlignment="0" applyProtection="0"/>
    <xf numFmtId="4" fontId="121" fillId="93" borderId="98" applyNumberFormat="0" applyProtection="0">
      <alignment horizontal="left" vertical="center" indent="1"/>
    </xf>
    <xf numFmtId="0" fontId="121" fillId="97" borderId="98" applyNumberFormat="0" applyProtection="0">
      <alignment horizontal="left" vertical="top" indent="1"/>
    </xf>
    <xf numFmtId="4" fontId="26" fillId="0" borderId="96" applyNumberFormat="0" applyProtection="0">
      <alignment horizontal="right" vertical="center"/>
    </xf>
    <xf numFmtId="4" fontId="138" fillId="23" borderId="96" applyNumberFormat="0" applyProtection="0">
      <alignment horizontal="right" vertical="center"/>
    </xf>
    <xf numFmtId="4" fontId="26" fillId="90" borderId="96" applyNumberFormat="0" applyProtection="0">
      <alignment horizontal="left" vertical="center" indent="1"/>
    </xf>
    <xf numFmtId="0" fontId="121" fillId="17" borderId="98" applyNumberFormat="0" applyProtection="0">
      <alignment horizontal="left" vertical="top" indent="1"/>
    </xf>
    <xf numFmtId="4" fontId="123" fillId="21" borderId="99" applyNumberFormat="0" applyProtection="0">
      <alignment horizontal="left" vertical="center" indent="1"/>
    </xf>
    <xf numFmtId="4" fontId="109" fillId="96" borderId="96" applyNumberFormat="0" applyProtection="0">
      <alignment horizontal="right" vertical="center"/>
    </xf>
    <xf numFmtId="0" fontId="129" fillId="0" borderId="101" applyNumberFormat="0" applyFill="0" applyAlignment="0" applyProtection="0"/>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38" borderId="0" applyNumberFormat="0" applyBorder="0" applyAlignment="0" applyProtection="0"/>
    <xf numFmtId="4" fontId="16" fillId="15" borderId="98" applyNumberFormat="0" applyProtection="0">
      <alignment horizontal="right" vertical="center"/>
    </xf>
    <xf numFmtId="0" fontId="59" fillId="42" borderId="0" applyNumberFormat="0" applyBorder="0" applyAlignment="0" applyProtection="0"/>
    <xf numFmtId="4" fontId="26" fillId="0" borderId="96" applyNumberFormat="0" applyProtection="0">
      <alignment horizontal="right" vertical="center"/>
    </xf>
    <xf numFmtId="0" fontId="59" fillId="38" borderId="0" applyNumberFormat="0" applyBorder="0" applyAlignment="0" applyProtection="0"/>
    <xf numFmtId="4" fontId="26" fillId="11" borderId="102" applyNumberFormat="0" applyProtection="0">
      <alignment horizontal="right" vertical="center"/>
    </xf>
    <xf numFmtId="4" fontId="26" fillId="9" borderId="102" applyNumberFormat="0" applyProtection="0">
      <alignment horizontal="right" vertical="center"/>
    </xf>
    <xf numFmtId="0" fontId="26" fillId="17" borderId="104" applyNumberFormat="0" applyProtection="0">
      <alignment horizontal="left" vertical="top" indent="1"/>
    </xf>
    <xf numFmtId="0" fontId="26" fillId="92" borderId="104" applyNumberFormat="0" applyProtection="0">
      <alignment horizontal="left" vertical="top" indent="1"/>
    </xf>
    <xf numFmtId="4" fontId="26" fillId="17" borderId="105" applyNumberFormat="0" applyProtection="0">
      <alignment horizontal="left" vertical="center" indent="1"/>
    </xf>
    <xf numFmtId="0" fontId="59" fillId="54" borderId="0" applyNumberFormat="0" applyBorder="0" applyAlignment="0" applyProtection="0"/>
    <xf numFmtId="0" fontId="26" fillId="15" borderId="102" applyNumberFormat="0" applyProtection="0">
      <alignment horizontal="left" vertical="center" indent="1"/>
    </xf>
    <xf numFmtId="4" fontId="26" fillId="90" borderId="102" applyNumberFormat="0" applyProtection="0">
      <alignment horizontal="left" vertical="center" indent="1"/>
    </xf>
    <xf numFmtId="0" fontId="59" fillId="58" borderId="0" applyNumberFormat="0" applyBorder="0" applyAlignment="0" applyProtection="0"/>
    <xf numFmtId="0" fontId="26" fillId="93" borderId="102" applyNumberFormat="0" applyProtection="0">
      <alignment horizontal="left" vertical="center" indent="1"/>
    </xf>
    <xf numFmtId="190" fontId="16" fillId="4" borderId="98" applyNumberFormat="0" applyProtection="0">
      <alignment horizontal="left" vertical="center" indent="1"/>
    </xf>
    <xf numFmtId="0" fontId="121" fillId="17" borderId="104" applyNumberFormat="0" applyProtection="0">
      <alignment horizontal="left" vertical="top" indent="1"/>
    </xf>
    <xf numFmtId="4" fontId="123" fillId="21" borderId="105" applyNumberFormat="0" applyProtection="0">
      <alignment horizontal="left" vertical="center" indent="1"/>
    </xf>
    <xf numFmtId="4" fontId="109" fillId="96" borderId="102" applyNumberFormat="0" applyProtection="0">
      <alignment horizontal="right" vertical="center"/>
    </xf>
    <xf numFmtId="0" fontId="129" fillId="0" borderId="107" applyNumberFormat="0" applyFill="0" applyAlignment="0" applyProtection="0"/>
    <xf numFmtId="0" fontId="59" fillId="46" borderId="0" applyNumberFormat="0" applyBorder="0" applyAlignment="0" applyProtection="0"/>
    <xf numFmtId="0" fontId="59" fillId="54" borderId="0" applyNumberFormat="0" applyBorder="0" applyAlignment="0" applyProtection="0"/>
    <xf numFmtId="0" fontId="59" fillId="50" borderId="0" applyNumberFormat="0" applyBorder="0" applyAlignment="0" applyProtection="0"/>
    <xf numFmtId="0" fontId="59" fillId="46" borderId="0" applyNumberFormat="0" applyBorder="0" applyAlignment="0" applyProtection="0"/>
    <xf numFmtId="0" fontId="59" fillId="42" borderId="0" applyNumberFormat="0" applyBorder="0" applyAlignment="0" applyProtection="0"/>
    <xf numFmtId="0" fontId="59" fillId="38" borderId="0" applyNumberFormat="0" applyBorder="0" applyAlignment="0" applyProtection="0"/>
    <xf numFmtId="0" fontId="59" fillId="42" borderId="0" applyNumberFormat="0" applyBorder="0" applyAlignment="0" applyProtection="0"/>
    <xf numFmtId="0" fontId="59" fillId="58" borderId="0" applyNumberFormat="0" applyBorder="0" applyAlignment="0" applyProtection="0"/>
    <xf numFmtId="0" fontId="2" fillId="0" borderId="0"/>
    <xf numFmtId="9" fontId="2" fillId="0" borderId="0" applyFont="0" applyFill="0" applyBorder="0" applyAlignment="0" applyProtection="0"/>
    <xf numFmtId="0" fontId="1" fillId="0" borderId="0"/>
    <xf numFmtId="0" fontId="83" fillId="39" borderId="0" applyNumberFormat="0" applyBorder="0" applyAlignment="0" applyProtection="0"/>
    <xf numFmtId="0" fontId="83" fillId="43" borderId="0" applyNumberFormat="0" applyBorder="0" applyAlignment="0" applyProtection="0"/>
    <xf numFmtId="0" fontId="83" fillId="47" borderId="0" applyNumberFormat="0" applyBorder="0" applyAlignment="0" applyProtection="0"/>
    <xf numFmtId="0" fontId="83" fillId="51" borderId="0" applyNumberFormat="0" applyBorder="0" applyAlignment="0" applyProtection="0"/>
    <xf numFmtId="0" fontId="83" fillId="55" borderId="0" applyNumberFormat="0" applyBorder="0" applyAlignment="0" applyProtection="0"/>
    <xf numFmtId="0" fontId="83" fillId="59" borderId="0" applyNumberFormat="0" applyBorder="0" applyAlignment="0" applyProtection="0"/>
    <xf numFmtId="0" fontId="83" fillId="40"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52" borderId="0" applyNumberFormat="0" applyBorder="0" applyAlignment="0" applyProtection="0"/>
    <xf numFmtId="0" fontId="83" fillId="56" borderId="0" applyNumberFormat="0" applyBorder="0" applyAlignment="0" applyProtection="0"/>
    <xf numFmtId="0" fontId="83" fillId="60" borderId="0" applyNumberFormat="0" applyBorder="0" applyAlignment="0" applyProtection="0"/>
    <xf numFmtId="0" fontId="83" fillId="0" borderId="0"/>
    <xf numFmtId="0" fontId="83" fillId="0" borderId="0"/>
    <xf numFmtId="0" fontId="83" fillId="0" borderId="0"/>
    <xf numFmtId="0" fontId="6" fillId="0" borderId="0"/>
    <xf numFmtId="0" fontId="83" fillId="37" borderId="53" applyNumberFormat="0" applyFont="0" applyAlignment="0" applyProtection="0"/>
    <xf numFmtId="0" fontId="83" fillId="37" borderId="53" applyNumberFormat="0" applyFont="0" applyAlignment="0" applyProtection="0"/>
  </cellStyleXfs>
  <cellXfs count="862">
    <xf numFmtId="0" fontId="0" fillId="0" borderId="0" xfId="0"/>
    <xf numFmtId="0" fontId="27" fillId="23" borderId="0" xfId="0" applyFont="1" applyFill="1"/>
    <xf numFmtId="0" fontId="36" fillId="23" borderId="0" xfId="0" applyFont="1" applyFill="1"/>
    <xf numFmtId="0" fontId="39" fillId="23" borderId="0" xfId="0" applyFont="1" applyFill="1" applyBorder="1" applyAlignment="1">
      <alignment horizontal="right"/>
    </xf>
    <xf numFmtId="0" fontId="29" fillId="23" borderId="0" xfId="0" applyFont="1" applyFill="1"/>
    <xf numFmtId="0" fontId="36" fillId="23" borderId="0" xfId="0" applyFont="1" applyFill="1" applyAlignment="1">
      <alignment vertical="center"/>
    </xf>
    <xf numFmtId="0" fontId="6" fillId="23" borderId="0" xfId="0" applyFont="1" applyFill="1"/>
    <xf numFmtId="14" fontId="6" fillId="23" borderId="0" xfId="0" applyNumberFormat="1" applyFont="1" applyFill="1" applyBorder="1" applyAlignment="1">
      <alignment horizontal="right"/>
    </xf>
    <xf numFmtId="0" fontId="6" fillId="23" borderId="0" xfId="0" applyFont="1" applyFill="1" applyBorder="1"/>
    <xf numFmtId="0" fontId="34" fillId="23" borderId="0" xfId="0" applyFont="1" applyFill="1" applyBorder="1"/>
    <xf numFmtId="0" fontId="33" fillId="23" borderId="0" xfId="0" applyFont="1" applyFill="1"/>
    <xf numFmtId="0" fontId="33" fillId="23" borderId="0" xfId="0" applyFont="1" applyFill="1" applyBorder="1" applyAlignment="1"/>
    <xf numFmtId="0" fontId="37" fillId="23" borderId="0" xfId="0" applyFont="1" applyFill="1"/>
    <xf numFmtId="0" fontId="36" fillId="23" borderId="0" xfId="0" applyFont="1" applyFill="1" applyBorder="1"/>
    <xf numFmtId="0" fontId="33" fillId="23" borderId="0" xfId="0" applyFont="1" applyFill="1" applyBorder="1"/>
    <xf numFmtId="173" fontId="6" fillId="23" borderId="0" xfId="11" applyNumberFormat="1" applyFont="1" applyFill="1" applyBorder="1" applyAlignment="1"/>
    <xf numFmtId="0" fontId="27" fillId="23" borderId="0" xfId="0" applyFont="1" applyFill="1" applyBorder="1"/>
    <xf numFmtId="0" fontId="29" fillId="23" borderId="0" xfId="0" applyFont="1" applyFill="1" applyBorder="1"/>
    <xf numFmtId="0" fontId="36" fillId="23" borderId="0" xfId="0" applyFont="1" applyFill="1" applyBorder="1" applyAlignment="1">
      <alignment vertical="center"/>
    </xf>
    <xf numFmtId="0" fontId="6" fillId="23" borderId="0" xfId="0" applyFont="1" applyFill="1" applyAlignment="1">
      <alignment vertical="center"/>
    </xf>
    <xf numFmtId="0" fontId="6" fillId="24" borderId="0" xfId="0" applyFont="1" applyFill="1"/>
    <xf numFmtId="0" fontId="27" fillId="24" borderId="0" xfId="0" applyFont="1" applyFill="1"/>
    <xf numFmtId="173" fontId="6" fillId="23" borderId="0" xfId="11" applyNumberFormat="1" applyFont="1" applyFill="1" applyBorder="1" applyAlignment="1">
      <alignment horizontal="right" vertical="center"/>
    </xf>
    <xf numFmtId="180" fontId="40" fillId="23" borderId="0" xfId="0" applyNumberFormat="1" applyFont="1" applyFill="1" applyBorder="1" applyAlignment="1"/>
    <xf numFmtId="0" fontId="33" fillId="23" borderId="0" xfId="0" applyFont="1" applyFill="1" applyAlignment="1">
      <alignment vertical="center"/>
    </xf>
    <xf numFmtId="0" fontId="33" fillId="23" borderId="0" xfId="0" applyFont="1" applyFill="1" applyBorder="1" applyAlignment="1">
      <alignment vertical="center"/>
    </xf>
    <xf numFmtId="14" fontId="33" fillId="23" borderId="0" xfId="0" applyNumberFormat="1" applyFont="1" applyFill="1" applyBorder="1" applyAlignment="1">
      <alignment horizontal="left" vertical="center"/>
    </xf>
    <xf numFmtId="0" fontId="34" fillId="23" borderId="0" xfId="0" applyFont="1" applyFill="1" applyBorder="1" applyAlignment="1">
      <alignment vertical="center"/>
    </xf>
    <xf numFmtId="0" fontId="34" fillId="24" borderId="0" xfId="0" applyFont="1" applyFill="1" applyBorder="1" applyAlignment="1">
      <alignment vertical="center"/>
    </xf>
    <xf numFmtId="0" fontId="33" fillId="24" borderId="0" xfId="0" applyFont="1" applyFill="1" applyBorder="1" applyAlignment="1">
      <alignment vertical="center"/>
    </xf>
    <xf numFmtId="0" fontId="33" fillId="24" borderId="0" xfId="0" applyFont="1" applyFill="1" applyBorder="1"/>
    <xf numFmtId="0" fontId="33" fillId="24" borderId="0" xfId="0" applyFont="1" applyFill="1" applyBorder="1" applyAlignment="1">
      <alignment horizontal="center" vertical="center"/>
    </xf>
    <xf numFmtId="0" fontId="33" fillId="24" borderId="0" xfId="0" applyFont="1" applyFill="1" applyBorder="1" applyAlignment="1">
      <alignment horizontal="center"/>
    </xf>
    <xf numFmtId="173" fontId="6" fillId="23" borderId="0" xfId="11" applyNumberFormat="1" applyFont="1" applyFill="1" applyBorder="1" applyAlignment="1">
      <alignment horizontal="right"/>
    </xf>
    <xf numFmtId="173" fontId="6" fillId="23" borderId="0" xfId="0" applyNumberFormat="1" applyFont="1" applyFill="1" applyAlignment="1">
      <alignment vertical="center"/>
    </xf>
    <xf numFmtId="173" fontId="6" fillId="23" borderId="0" xfId="11" applyNumberFormat="1" applyFont="1" applyFill="1" applyAlignment="1">
      <alignment vertical="center"/>
    </xf>
    <xf numFmtId="0" fontId="6" fillId="23" borderId="0" xfId="0" applyFont="1" applyFill="1" applyBorder="1" applyAlignment="1">
      <alignment horizontal="right"/>
    </xf>
    <xf numFmtId="0" fontId="6" fillId="0" borderId="0" xfId="0" applyFont="1" applyFill="1" applyBorder="1"/>
    <xf numFmtId="0" fontId="6" fillId="0" borderId="0" xfId="0" applyFont="1" applyFill="1"/>
    <xf numFmtId="0" fontId="73" fillId="0" borderId="0" xfId="0" applyFont="1" applyAlignment="1"/>
    <xf numFmtId="0" fontId="74" fillId="0" borderId="0" xfId="0" applyFont="1"/>
    <xf numFmtId="0" fontId="74" fillId="0" borderId="0" xfId="0" applyFont="1" applyAlignment="1"/>
    <xf numFmtId="0" fontId="74" fillId="0" borderId="8" xfId="0" applyFont="1" applyBorder="1" applyAlignment="1"/>
    <xf numFmtId="0" fontId="74" fillId="0" borderId="0" xfId="0" applyFont="1" applyFill="1" applyAlignment="1"/>
    <xf numFmtId="174" fontId="74" fillId="0" borderId="0" xfId="11" applyNumberFormat="1" applyFont="1"/>
    <xf numFmtId="0" fontId="0" fillId="0" borderId="0" xfId="0" applyAlignment="1">
      <alignment horizontal="left" indent="1"/>
    </xf>
    <xf numFmtId="0" fontId="6" fillId="0" borderId="0" xfId="0" applyFont="1" applyFill="1" applyBorder="1" applyAlignment="1">
      <alignment vertical="center"/>
    </xf>
    <xf numFmtId="0" fontId="27" fillId="0" borderId="0" xfId="0" applyFont="1" applyFill="1"/>
    <xf numFmtId="0" fontId="29" fillId="0" borderId="0" xfId="0" applyFont="1" applyFill="1" applyBorder="1"/>
    <xf numFmtId="0" fontId="6" fillId="0" borderId="0" xfId="0" applyFont="1" applyFill="1" applyBorder="1" applyAlignment="1">
      <alignment horizontal="right"/>
    </xf>
    <xf numFmtId="0" fontId="29" fillId="0" borderId="0" xfId="0" applyFont="1" applyFill="1"/>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40" fillId="0" borderId="0" xfId="0" applyFont="1" applyFill="1" applyBorder="1"/>
    <xf numFmtId="171" fontId="6" fillId="0" borderId="0" xfId="0" applyNumberFormat="1" applyFont="1" applyFill="1" applyBorder="1"/>
    <xf numFmtId="171" fontId="6" fillId="0" borderId="0" xfId="0" applyNumberFormat="1" applyFont="1" applyFill="1" applyBorder="1" applyAlignment="1">
      <alignment horizontal="right"/>
    </xf>
    <xf numFmtId="0" fontId="66" fillId="0" borderId="0" xfId="0" applyFont="1" applyFill="1" applyBorder="1"/>
    <xf numFmtId="0" fontId="24" fillId="0" borderId="0" xfId="0" applyFont="1" applyFill="1" applyBorder="1" applyAlignment="1">
      <alignment vertical="center"/>
    </xf>
    <xf numFmtId="171" fontId="6" fillId="0" borderId="0" xfId="0" applyNumberFormat="1" applyFont="1" applyFill="1" applyBorder="1" applyAlignment="1">
      <alignment vertical="center"/>
    </xf>
    <xf numFmtId="0" fontId="8" fillId="0" borderId="0" xfId="0" applyFont="1" applyFill="1" applyBorder="1" applyAlignment="1">
      <alignment vertical="top" wrapText="1"/>
    </xf>
    <xf numFmtId="0" fontId="46" fillId="0" borderId="0" xfId="0" applyFont="1" applyFill="1" applyBorder="1" applyAlignment="1">
      <alignment vertical="top" wrapText="1"/>
    </xf>
    <xf numFmtId="0" fontId="6" fillId="0" borderId="0" xfId="0" applyFont="1" applyFill="1" applyAlignment="1">
      <alignment wrapText="1"/>
    </xf>
    <xf numFmtId="0" fontId="46" fillId="0" borderId="0" xfId="0" applyFont="1" applyFill="1" applyBorder="1" applyAlignment="1">
      <alignment horizontal="left" vertical="top" wrapText="1"/>
    </xf>
    <xf numFmtId="0" fontId="46" fillId="0" borderId="0" xfId="0" applyFont="1" applyFill="1" applyBorder="1"/>
    <xf numFmtId="0" fontId="27" fillId="0" borderId="0" xfId="0" applyFont="1" applyFill="1" applyBorder="1"/>
    <xf numFmtId="0" fontId="27" fillId="0" borderId="0" xfId="0" applyFont="1" applyFill="1" applyAlignment="1">
      <alignment vertical="center"/>
    </xf>
    <xf numFmtId="0" fontId="27" fillId="0" borderId="0" xfId="0" applyFont="1" applyFill="1" applyBorder="1" applyAlignment="1">
      <alignment vertical="center"/>
    </xf>
    <xf numFmtId="0" fontId="38" fillId="0" borderId="0" xfId="0" applyFont="1" applyFill="1" applyBorder="1" applyAlignment="1">
      <alignment wrapText="1"/>
    </xf>
    <xf numFmtId="0" fontId="59" fillId="0" borderId="0" xfId="0" applyFont="1" applyFill="1" applyAlignment="1">
      <alignment vertical="center"/>
    </xf>
    <xf numFmtId="0" fontId="23" fillId="0" borderId="0" xfId="0" applyFont="1" applyFill="1" applyBorder="1" applyAlignment="1">
      <alignment horizontal="left" vertical="center"/>
    </xf>
    <xf numFmtId="0" fontId="26" fillId="0" borderId="0" xfId="0" applyFont="1" applyFill="1"/>
    <xf numFmtId="0" fontId="59" fillId="0" borderId="0" xfId="0" applyFont="1" applyFill="1" applyBorder="1" applyAlignment="1">
      <alignment vertical="center"/>
    </xf>
    <xf numFmtId="0" fontId="63" fillId="0" borderId="0" xfId="0" applyFont="1" applyFill="1" applyBorder="1" applyAlignment="1">
      <alignment horizontal="center" vertical="center"/>
    </xf>
    <xf numFmtId="0" fontId="65" fillId="0" borderId="0" xfId="0" applyFont="1" applyFill="1" applyBorder="1" applyAlignment="1">
      <alignment horizontal="center" vertical="center" wrapText="1"/>
    </xf>
    <xf numFmtId="0" fontId="51" fillId="0" borderId="0" xfId="0" applyFont="1" applyFill="1" applyBorder="1" applyAlignment="1"/>
    <xf numFmtId="0" fontId="5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1" fillId="0" borderId="0" xfId="0" applyFont="1" applyFill="1" applyBorder="1" applyAlignment="1">
      <alignment vertical="top"/>
    </xf>
    <xf numFmtId="0" fontId="53" fillId="0" borderId="0" xfId="0" applyFont="1" applyFill="1" applyBorder="1" applyAlignment="1">
      <alignment vertical="center"/>
    </xf>
    <xf numFmtId="0" fontId="40" fillId="0" borderId="0" xfId="0" applyFont="1" applyFill="1" applyBorder="1" applyAlignment="1">
      <alignment horizontal="center" vertical="center"/>
    </xf>
    <xf numFmtId="0" fontId="27" fillId="0" borderId="0" xfId="0" applyFont="1" applyFill="1" applyAlignment="1">
      <alignment wrapText="1"/>
    </xf>
    <xf numFmtId="0" fontId="27" fillId="0" borderId="0" xfId="0" applyFont="1" applyFill="1" applyAlignment="1">
      <alignment horizontal="right"/>
    </xf>
    <xf numFmtId="171" fontId="6" fillId="0" borderId="0" xfId="0" applyNumberFormat="1" applyFont="1" applyFill="1" applyBorder="1" applyAlignment="1"/>
    <xf numFmtId="0" fontId="47" fillId="0" borderId="0" xfId="0" applyFont="1" applyFill="1" applyBorder="1"/>
    <xf numFmtId="0" fontId="71" fillId="0" borderId="0" xfId="0" applyFont="1" applyBorder="1" applyAlignment="1"/>
    <xf numFmtId="0" fontId="74" fillId="0" borderId="20" xfId="0" applyFont="1" applyBorder="1"/>
    <xf numFmtId="14" fontId="74" fillId="0" borderId="21" xfId="0" applyNumberFormat="1" applyFont="1" applyBorder="1" applyAlignment="1">
      <alignment horizontal="right"/>
    </xf>
    <xf numFmtId="0" fontId="74" fillId="0" borderId="22" xfId="0" applyFont="1" applyBorder="1"/>
    <xf numFmtId="1" fontId="74" fillId="0" borderId="23" xfId="0" applyNumberFormat="1" applyFont="1" applyBorder="1" applyAlignment="1">
      <alignment horizontal="right"/>
    </xf>
    <xf numFmtId="0" fontId="74" fillId="0" borderId="23" xfId="0" applyFont="1" applyBorder="1"/>
    <xf numFmtId="0" fontId="74" fillId="0" borderId="24" xfId="0" applyFont="1" applyBorder="1"/>
    <xf numFmtId="0" fontId="74" fillId="0" borderId="25" xfId="0" applyFont="1" applyBorder="1"/>
    <xf numFmtId="4" fontId="74" fillId="0" borderId="23" xfId="0" applyNumberFormat="1" applyFont="1" applyBorder="1"/>
    <xf numFmtId="0" fontId="74" fillId="0" borderId="22" xfId="0" applyFont="1" applyBorder="1" applyAlignment="1"/>
    <xf numFmtId="0" fontId="6" fillId="0" borderId="0" xfId="0" applyFont="1"/>
    <xf numFmtId="0" fontId="74" fillId="0" borderId="23" xfId="0" applyFont="1" applyBorder="1" applyAlignment="1">
      <alignment horizontal="right"/>
    </xf>
    <xf numFmtId="174" fontId="74" fillId="0" borderId="25" xfId="11" applyNumberFormat="1" applyFont="1" applyBorder="1"/>
    <xf numFmtId="0" fontId="74" fillId="0" borderId="0" xfId="0" applyFont="1" applyBorder="1"/>
    <xf numFmtId="0" fontId="74" fillId="0" borderId="0" xfId="0" applyFont="1" applyAlignment="1">
      <alignment wrapText="1"/>
    </xf>
    <xf numFmtId="4" fontId="74" fillId="0" borderId="0" xfId="0" applyNumberFormat="1" applyFont="1" applyAlignment="1">
      <alignment horizontal="right" vertical="center"/>
    </xf>
    <xf numFmtId="14" fontId="6" fillId="0" borderId="0" xfId="0" applyNumberFormat="1" applyFont="1" applyFill="1" applyBorder="1" applyAlignment="1">
      <alignment horizontal="center"/>
    </xf>
    <xf numFmtId="165" fontId="27" fillId="0" borderId="0" xfId="4" applyFont="1" applyFill="1" applyAlignment="1">
      <alignment vertical="center"/>
    </xf>
    <xf numFmtId="165" fontId="30" fillId="0" borderId="0" xfId="64" applyNumberFormat="1" applyFont="1" applyFill="1" applyAlignment="1">
      <alignment vertical="center"/>
    </xf>
    <xf numFmtId="165" fontId="8" fillId="0" borderId="0" xfId="4" applyFont="1" applyFill="1" applyBorder="1" applyAlignment="1">
      <alignment horizontal="center" vertical="center"/>
    </xf>
    <xf numFmtId="179" fontId="6" fillId="0" borderId="0" xfId="0" applyNumberFormat="1" applyFont="1" applyFill="1" applyBorder="1" applyAlignment="1">
      <alignment vertical="center"/>
    </xf>
    <xf numFmtId="173" fontId="6" fillId="0" borderId="0" xfId="11" applyNumberFormat="1" applyFont="1" applyFill="1" applyBorder="1" applyAlignment="1">
      <alignment vertical="center"/>
    </xf>
    <xf numFmtId="0" fontId="74" fillId="0" borderId="0" xfId="0" applyFont="1" applyAlignment="1">
      <alignment horizontal="left"/>
    </xf>
    <xf numFmtId="0" fontId="52" fillId="0" borderId="0" xfId="0" applyFont="1" applyFill="1" applyBorder="1" applyAlignment="1">
      <alignment vertical="center"/>
    </xf>
    <xf numFmtId="3" fontId="74" fillId="0" borderId="0" xfId="4" applyNumberFormat="1" applyFont="1"/>
    <xf numFmtId="0" fontId="74" fillId="0" borderId="0" xfId="0" applyFont="1" applyAlignment="1">
      <alignment horizontal="left" vertical="center" wrapText="1"/>
    </xf>
    <xf numFmtId="0" fontId="74" fillId="0" borderId="0" xfId="0" applyFont="1" applyAlignment="1">
      <alignment horizontal="left" vertical="center"/>
    </xf>
    <xf numFmtId="0" fontId="24" fillId="0" borderId="0" xfId="0" applyFont="1" applyFill="1" applyBorder="1"/>
    <xf numFmtId="0" fontId="74" fillId="0" borderId="0" xfId="0" applyFont="1" applyAlignment="1">
      <alignment horizontal="left" wrapText="1"/>
    </xf>
    <xf numFmtId="0" fontId="0" fillId="0" borderId="0" xfId="0" applyFill="1"/>
    <xf numFmtId="14" fontId="27" fillId="0" borderId="0" xfId="0" applyNumberFormat="1" applyFont="1" applyFill="1" applyBorder="1" applyAlignment="1"/>
    <xf numFmtId="0" fontId="36" fillId="0" borderId="0" xfId="0" applyFont="1" applyFill="1" applyBorder="1" applyAlignment="1">
      <alignment vertical="center" wrapText="1"/>
    </xf>
    <xf numFmtId="0" fontId="26" fillId="0" borderId="0" xfId="0" applyFont="1" applyFill="1" applyBorder="1"/>
    <xf numFmtId="185" fontId="27" fillId="0" borderId="0" xfId="0" applyNumberFormat="1" applyFont="1" applyFill="1" applyBorder="1" applyAlignment="1"/>
    <xf numFmtId="0" fontId="36" fillId="0" borderId="0" xfId="57" applyFont="1" applyFill="1" applyBorder="1" applyAlignment="1">
      <alignment vertical="center"/>
    </xf>
    <xf numFmtId="0" fontId="74" fillId="0" borderId="0" xfId="0" applyFont="1" applyAlignment="1">
      <alignment horizontal="left" vertical="top"/>
    </xf>
    <xf numFmtId="0" fontId="68" fillId="23" borderId="0" xfId="0" applyFont="1" applyFill="1" applyBorder="1" applyAlignment="1">
      <alignment wrapText="1"/>
    </xf>
    <xf numFmtId="0" fontId="74" fillId="0" borderId="0" xfId="0" applyFont="1" applyAlignment="1">
      <alignment vertical="top"/>
    </xf>
    <xf numFmtId="0" fontId="41" fillId="0" borderId="0" xfId="0" applyFont="1" applyFill="1" applyBorder="1"/>
    <xf numFmtId="0" fontId="0" fillId="0" borderId="0" xfId="0" applyAlignment="1">
      <alignment horizontal="left" vertical="center"/>
    </xf>
    <xf numFmtId="0" fontId="62" fillId="0" borderId="0" xfId="0" applyFont="1" applyFill="1" applyBorder="1" applyAlignment="1">
      <alignment horizontal="left" vertical="center" wrapText="1"/>
    </xf>
    <xf numFmtId="171" fontId="6" fillId="0" borderId="0" xfId="0" applyNumberFormat="1" applyFont="1" applyFill="1" applyBorder="1" applyAlignment="1">
      <alignment horizontal="right" vertical="center"/>
    </xf>
    <xf numFmtId="171" fontId="6" fillId="0" borderId="0" xfId="0" applyNumberFormat="1" applyFont="1" applyFill="1" applyBorder="1" applyAlignment="1">
      <alignment horizontal="right"/>
    </xf>
    <xf numFmtId="0" fontId="36"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36" fillId="23" borderId="0" xfId="0" applyFont="1" applyFill="1" applyBorder="1" applyAlignment="1">
      <alignment horizontal="left" vertical="center"/>
    </xf>
    <xf numFmtId="0" fontId="27" fillId="25" borderId="0" xfId="0" applyFont="1" applyFill="1" applyBorder="1"/>
    <xf numFmtId="0" fontId="49" fillId="25" borderId="0" xfId="0" applyFont="1" applyFill="1" applyBorder="1" applyAlignment="1">
      <alignment vertical="center" wrapText="1"/>
    </xf>
    <xf numFmtId="14" fontId="75" fillId="25" borderId="0" xfId="0" applyNumberFormat="1" applyFont="1" applyFill="1" applyBorder="1" applyAlignment="1">
      <alignment horizontal="right"/>
    </xf>
    <xf numFmtId="0" fontId="75" fillId="25" borderId="0" xfId="0" applyFont="1" applyFill="1" applyBorder="1" applyAlignment="1">
      <alignment horizontal="right" vertical="center"/>
    </xf>
    <xf numFmtId="0" fontId="36" fillId="0" borderId="0" xfId="0" applyFont="1" applyFill="1" applyBorder="1" applyAlignment="1">
      <alignment horizontal="left"/>
    </xf>
    <xf numFmtId="172" fontId="24" fillId="23" borderId="0" xfId="0" applyNumberFormat="1" applyFont="1" applyFill="1" applyBorder="1" applyAlignment="1"/>
    <xf numFmtId="0" fontId="23" fillId="23" borderId="0" xfId="0" applyFont="1" applyFill="1"/>
    <xf numFmtId="0" fontId="27" fillId="25" borderId="8" xfId="0" applyFont="1" applyFill="1" applyBorder="1"/>
    <xf numFmtId="0" fontId="49" fillId="25" borderId="8" xfId="0" applyFont="1" applyFill="1" applyBorder="1" applyAlignment="1">
      <alignment vertical="center" wrapText="1"/>
    </xf>
    <xf numFmtId="0" fontId="27" fillId="25" borderId="7" xfId="0" applyFont="1" applyFill="1" applyBorder="1"/>
    <xf numFmtId="0" fontId="49" fillId="25" borderId="7" xfId="0" applyFont="1" applyFill="1" applyBorder="1" applyAlignment="1">
      <alignment vertical="center" wrapText="1"/>
    </xf>
    <xf numFmtId="0" fontId="75" fillId="25" borderId="8" xfId="0" applyFont="1" applyFill="1" applyBorder="1" applyAlignment="1">
      <alignment horizontal="right"/>
    </xf>
    <xf numFmtId="0" fontId="75" fillId="25" borderId="0" xfId="0" applyFont="1" applyFill="1" applyBorder="1" applyAlignment="1">
      <alignment horizontal="right"/>
    </xf>
    <xf numFmtId="0" fontId="33" fillId="0" borderId="0" xfId="0" applyFont="1" applyFill="1" applyBorder="1"/>
    <xf numFmtId="0" fontId="33" fillId="24" borderId="12" xfId="0" applyFont="1" applyFill="1" applyBorder="1" applyAlignment="1">
      <alignment horizontal="left" vertical="center"/>
    </xf>
    <xf numFmtId="0" fontId="33" fillId="26" borderId="12" xfId="0" applyFont="1" applyFill="1" applyBorder="1" applyAlignment="1">
      <alignment horizontal="left" vertical="center"/>
    </xf>
    <xf numFmtId="3" fontId="33" fillId="0" borderId="0" xfId="0" applyNumberFormat="1" applyFont="1" applyFill="1" applyBorder="1" applyAlignment="1">
      <alignment horizontal="right" vertical="center"/>
    </xf>
    <xf numFmtId="4" fontId="33" fillId="0" borderId="0" xfId="0" applyNumberFormat="1" applyFont="1" applyFill="1" applyBorder="1" applyAlignment="1">
      <alignment horizontal="right" vertical="center"/>
    </xf>
    <xf numFmtId="0" fontId="36" fillId="0" borderId="0" xfId="0" applyFont="1" applyFill="1" applyBorder="1" applyAlignment="1">
      <alignment horizontal="center" vertical="center" wrapText="1"/>
    </xf>
    <xf numFmtId="10" fontId="33" fillId="0" borderId="0" xfId="11" applyNumberFormat="1" applyFont="1" applyFill="1" applyBorder="1" applyAlignment="1">
      <alignment vertical="center"/>
    </xf>
    <xf numFmtId="10" fontId="33" fillId="0" borderId="0" xfId="11" applyNumberFormat="1" applyFont="1" applyFill="1" applyBorder="1" applyAlignment="1">
      <alignment horizontal="right" vertical="center"/>
    </xf>
    <xf numFmtId="0" fontId="76" fillId="0" borderId="0" xfId="0" applyFont="1" applyFill="1" applyBorder="1" applyAlignment="1">
      <alignment horizontal="left" vertical="center"/>
    </xf>
    <xf numFmtId="0" fontId="76" fillId="0" borderId="0" xfId="0" applyFont="1" applyFill="1" applyBorder="1" applyAlignment="1">
      <alignment horizontal="center" vertical="center" wrapText="1"/>
    </xf>
    <xf numFmtId="0" fontId="33" fillId="0" borderId="0" xfId="0" applyFont="1" applyFill="1" applyBorder="1" applyAlignment="1">
      <alignment horizontal="left" vertical="center" wrapText="1" indent="1"/>
    </xf>
    <xf numFmtId="0" fontId="33" fillId="26" borderId="12" xfId="0" applyFont="1" applyFill="1" applyBorder="1" applyAlignment="1">
      <alignment horizontal="left" vertical="center" wrapText="1"/>
    </xf>
    <xf numFmtId="14" fontId="27" fillId="0" borderId="11" xfId="0" applyNumberFormat="1" applyFont="1" applyFill="1" applyBorder="1" applyAlignment="1">
      <alignment horizontal="right"/>
    </xf>
    <xf numFmtId="185" fontId="27" fillId="0" borderId="0" xfId="0" applyNumberFormat="1" applyFont="1" applyFill="1" applyBorder="1" applyAlignment="1">
      <alignment horizontal="right"/>
    </xf>
    <xf numFmtId="0" fontId="36" fillId="23" borderId="0" xfId="0" applyFont="1" applyFill="1" applyBorder="1" applyAlignment="1">
      <alignment horizontal="left" vertical="center"/>
    </xf>
    <xf numFmtId="0" fontId="33" fillId="26" borderId="12" xfId="0" applyFont="1" applyFill="1" applyBorder="1" applyAlignment="1">
      <alignment vertical="center"/>
    </xf>
    <xf numFmtId="0" fontId="33" fillId="24" borderId="12" xfId="0" applyFont="1" applyFill="1" applyBorder="1" applyAlignment="1">
      <alignment vertical="center"/>
    </xf>
    <xf numFmtId="0" fontId="76" fillId="25" borderId="0" xfId="0" applyFont="1" applyFill="1" applyBorder="1" applyAlignment="1">
      <alignment horizontal="left" vertical="center" wrapText="1"/>
    </xf>
    <xf numFmtId="4" fontId="76" fillId="25" borderId="0" xfId="0" applyNumberFormat="1" applyFont="1" applyFill="1" applyBorder="1" applyAlignment="1">
      <alignment horizontal="right" vertical="center"/>
    </xf>
    <xf numFmtId="10" fontId="76" fillId="25" borderId="0" xfId="11" applyNumberFormat="1" applyFont="1" applyFill="1" applyBorder="1" applyAlignment="1">
      <alignment horizontal="right" vertical="center"/>
    </xf>
    <xf numFmtId="0" fontId="0" fillId="23" borderId="0" xfId="0" applyFill="1" applyBorder="1"/>
    <xf numFmtId="0" fontId="35" fillId="23" borderId="0" xfId="6" applyFont="1" applyFill="1" applyBorder="1" applyAlignment="1" applyProtection="1"/>
    <xf numFmtId="0" fontId="33" fillId="23" borderId="0" xfId="0" applyFont="1" applyFill="1" applyBorder="1" applyAlignment="1">
      <alignment wrapText="1"/>
    </xf>
    <xf numFmtId="0" fontId="27" fillId="25" borderId="8" xfId="0" applyFont="1" applyFill="1" applyBorder="1" applyAlignment="1"/>
    <xf numFmtId="0" fontId="27" fillId="25" borderId="0" xfId="0" applyFont="1" applyFill="1" applyBorder="1" applyAlignment="1"/>
    <xf numFmtId="0" fontId="6" fillId="25" borderId="0" xfId="0" applyFont="1" applyFill="1" applyBorder="1" applyAlignment="1">
      <alignment horizontal="right"/>
    </xf>
    <xf numFmtId="0" fontId="28" fillId="23" borderId="0" xfId="0" applyFont="1" applyFill="1" applyBorder="1" applyAlignment="1"/>
    <xf numFmtId="0" fontId="37" fillId="23" borderId="0" xfId="0" applyFont="1" applyFill="1" applyBorder="1" applyAlignment="1">
      <alignment horizontal="left" indent="4"/>
    </xf>
    <xf numFmtId="0" fontId="33" fillId="24" borderId="0" xfId="0" applyFont="1" applyFill="1" applyBorder="1" applyAlignment="1">
      <alignment wrapText="1"/>
    </xf>
    <xf numFmtId="0" fontId="34" fillId="26" borderId="0" xfId="0" applyFont="1" applyFill="1" applyBorder="1" applyAlignment="1">
      <alignment vertical="center"/>
    </xf>
    <xf numFmtId="0" fontId="33" fillId="26" borderId="0" xfId="0" applyFont="1" applyFill="1" applyBorder="1"/>
    <xf numFmtId="0" fontId="36" fillId="26" borderId="0" xfId="0" applyFont="1" applyFill="1" applyBorder="1"/>
    <xf numFmtId="0" fontId="33" fillId="26" borderId="0" xfId="0" applyFont="1" applyFill="1" applyBorder="1" applyAlignment="1">
      <alignment vertical="center"/>
    </xf>
    <xf numFmtId="0" fontId="34" fillId="26" borderId="0" xfId="0" applyFont="1" applyFill="1" applyBorder="1" applyAlignment="1">
      <alignment vertical="center" wrapText="1"/>
    </xf>
    <xf numFmtId="0" fontId="36" fillId="24" borderId="0" xfId="0" applyFont="1" applyFill="1" applyBorder="1" applyAlignment="1">
      <alignment vertical="center"/>
    </xf>
    <xf numFmtId="0" fontId="29" fillId="26" borderId="0" xfId="0" applyFont="1" applyFill="1" applyBorder="1"/>
    <xf numFmtId="0" fontId="27" fillId="26" borderId="0" xfId="0" applyFont="1" applyFill="1" applyBorder="1"/>
    <xf numFmtId="0" fontId="36" fillId="26" borderId="34" xfId="0" applyFont="1" applyFill="1" applyBorder="1" applyAlignment="1">
      <alignment vertical="center"/>
    </xf>
    <xf numFmtId="0" fontId="33" fillId="26" borderId="35" xfId="0" applyFont="1" applyFill="1" applyBorder="1"/>
    <xf numFmtId="0" fontId="36" fillId="26" borderId="35" xfId="0" applyFont="1" applyFill="1" applyBorder="1"/>
    <xf numFmtId="0" fontId="36" fillId="26" borderId="37" xfId="0" applyFont="1" applyFill="1" applyBorder="1" applyAlignment="1">
      <alignment vertical="center"/>
    </xf>
    <xf numFmtId="0" fontId="36" fillId="26" borderId="38" xfId="0" applyFont="1" applyFill="1" applyBorder="1"/>
    <xf numFmtId="0" fontId="33" fillId="26" borderId="38" xfId="0" applyFont="1" applyFill="1" applyBorder="1"/>
    <xf numFmtId="0" fontId="35" fillId="26" borderId="38" xfId="6" applyFont="1" applyFill="1" applyBorder="1" applyAlignment="1" applyProtection="1"/>
    <xf numFmtId="0" fontId="36" fillId="24" borderId="34" xfId="0" applyFont="1" applyFill="1" applyBorder="1" applyAlignment="1">
      <alignment vertical="center"/>
    </xf>
    <xf numFmtId="0" fontId="36" fillId="24" borderId="37" xfId="0" applyFont="1" applyFill="1" applyBorder="1" applyAlignment="1">
      <alignment vertical="center"/>
    </xf>
    <xf numFmtId="0" fontId="33" fillId="23" borderId="38" xfId="0" applyFont="1" applyFill="1" applyBorder="1"/>
    <xf numFmtId="0" fontId="33" fillId="24" borderId="38" xfId="0" applyFont="1" applyFill="1" applyBorder="1"/>
    <xf numFmtId="0" fontId="33" fillId="23" borderId="17" xfId="0" applyFont="1" applyFill="1" applyBorder="1"/>
    <xf numFmtId="0" fontId="33" fillId="23" borderId="14" xfId="0" applyFont="1" applyFill="1" applyBorder="1"/>
    <xf numFmtId="0" fontId="33" fillId="26" borderId="37" xfId="0" applyFont="1" applyFill="1" applyBorder="1"/>
    <xf numFmtId="0" fontId="27" fillId="26" borderId="37" xfId="0" applyFont="1" applyFill="1" applyBorder="1"/>
    <xf numFmtId="0" fontId="27" fillId="23" borderId="37" xfId="0" applyFont="1" applyFill="1" applyBorder="1"/>
    <xf numFmtId="0" fontId="27" fillId="23" borderId="38" xfId="0" applyFont="1" applyFill="1" applyBorder="1"/>
    <xf numFmtId="0" fontId="0" fillId="23" borderId="38" xfId="0" applyFill="1" applyBorder="1"/>
    <xf numFmtId="0" fontId="33" fillId="26" borderId="39" xfId="0" applyFont="1" applyFill="1" applyBorder="1"/>
    <xf numFmtId="0" fontId="36" fillId="24" borderId="34" xfId="0" applyFont="1" applyFill="1" applyBorder="1" applyAlignment="1">
      <alignment horizontal="left" vertical="top" wrapText="1"/>
    </xf>
    <xf numFmtId="0" fontId="36" fillId="24" borderId="37" xfId="0" applyFont="1" applyFill="1" applyBorder="1" applyAlignment="1">
      <alignment horizontal="left" vertical="top" wrapText="1"/>
    </xf>
    <xf numFmtId="0" fontId="33" fillId="23" borderId="37" xfId="0" applyFont="1" applyFill="1" applyBorder="1"/>
    <xf numFmtId="0" fontId="36" fillId="24" borderId="38" xfId="0" applyFont="1" applyFill="1" applyBorder="1" applyAlignment="1">
      <alignment horizontal="left" vertical="center" wrapText="1"/>
    </xf>
    <xf numFmtId="0" fontId="33" fillId="24" borderId="38" xfId="0" applyFont="1" applyFill="1" applyBorder="1" applyAlignment="1">
      <alignment vertical="center"/>
    </xf>
    <xf numFmtId="0" fontId="35" fillId="26" borderId="14" xfId="6" applyFont="1" applyFill="1" applyBorder="1" applyAlignment="1" applyProtection="1"/>
    <xf numFmtId="0" fontId="36" fillId="24" borderId="37" xfId="0" applyFont="1" applyFill="1" applyBorder="1" applyAlignment="1">
      <alignment vertical="center" wrapText="1"/>
    </xf>
    <xf numFmtId="0" fontId="33" fillId="24" borderId="37" xfId="0" applyFont="1" applyFill="1" applyBorder="1" applyAlignment="1">
      <alignment vertical="center" wrapText="1"/>
    </xf>
    <xf numFmtId="0" fontId="33" fillId="23" borderId="39" xfId="0" applyFont="1" applyFill="1" applyBorder="1"/>
    <xf numFmtId="0" fontId="75" fillId="27" borderId="0" xfId="0" applyFont="1" applyFill="1" applyBorder="1" applyAlignment="1">
      <alignment vertical="center" wrapText="1"/>
    </xf>
    <xf numFmtId="0" fontId="6" fillId="0" borderId="12" xfId="0" applyFont="1" applyFill="1" applyBorder="1" applyAlignment="1">
      <alignment horizontal="center" vertical="center" wrapText="1"/>
    </xf>
    <xf numFmtId="0" fontId="38" fillId="0" borderId="0" xfId="0" applyFont="1" applyFill="1" applyBorder="1"/>
    <xf numFmtId="0" fontId="36" fillId="0" borderId="0" xfId="0" applyFont="1" applyFill="1" applyBorder="1"/>
    <xf numFmtId="0" fontId="6" fillId="0" borderId="0" xfId="0" applyFont="1" applyFill="1" applyBorder="1" applyAlignment="1">
      <alignment horizontal="center" vertical="center" wrapText="1"/>
    </xf>
    <xf numFmtId="10" fontId="23" fillId="0" borderId="0" xfId="11" applyNumberFormat="1" applyFont="1" applyFill="1" applyBorder="1" applyAlignment="1">
      <alignment vertical="center"/>
    </xf>
    <xf numFmtId="0" fontId="27" fillId="25" borderId="10" xfId="0" applyFont="1" applyFill="1" applyBorder="1"/>
    <xf numFmtId="0" fontId="29" fillId="25" borderId="8" xfId="0" applyFont="1" applyFill="1" applyBorder="1"/>
    <xf numFmtId="0" fontId="27" fillId="25" borderId="9" xfId="0" applyFont="1" applyFill="1" applyBorder="1"/>
    <xf numFmtId="0" fontId="29" fillId="25" borderId="0" xfId="0" applyFont="1" applyFill="1" applyBorder="1"/>
    <xf numFmtId="0" fontId="31" fillId="0" borderId="0" xfId="0" applyFont="1" applyFill="1" applyBorder="1" applyAlignment="1">
      <alignment horizontal="left" vertical="center" indent="1"/>
    </xf>
    <xf numFmtId="0" fontId="31" fillId="0" borderId="0" xfId="0" applyFont="1" applyFill="1" applyBorder="1" applyAlignment="1">
      <alignment horizontal="left" indent="1"/>
    </xf>
    <xf numFmtId="0" fontId="62" fillId="0" borderId="0" xfId="0" applyFont="1" applyFill="1" applyBorder="1" applyAlignment="1">
      <alignment vertical="center"/>
    </xf>
    <xf numFmtId="0" fontId="64" fillId="25" borderId="8" xfId="0" applyFont="1" applyFill="1" applyBorder="1" applyAlignment="1">
      <alignment horizontal="right"/>
    </xf>
    <xf numFmtId="10" fontId="23" fillId="24" borderId="12" xfId="11" applyNumberFormat="1" applyFont="1" applyFill="1" applyBorder="1" applyAlignment="1">
      <alignment vertical="center"/>
    </xf>
    <xf numFmtId="0" fontId="0" fillId="25" borderId="0" xfId="0" applyFill="1"/>
    <xf numFmtId="0" fontId="38" fillId="0" borderId="0" xfId="0" applyFont="1" applyFill="1" applyBorder="1" applyAlignment="1">
      <alignment horizontal="left" vertical="center" wrapText="1"/>
    </xf>
    <xf numFmtId="0" fontId="75" fillId="25" borderId="0" xfId="0" applyFont="1" applyFill="1" applyAlignment="1">
      <alignment horizontal="right" vertical="center"/>
    </xf>
    <xf numFmtId="0" fontId="39" fillId="0" borderId="0" xfId="0" applyFont="1" applyFill="1" applyBorder="1"/>
    <xf numFmtId="0" fontId="33" fillId="0" borderId="0" xfId="0" applyFont="1" applyFill="1" applyBorder="1" applyAlignment="1">
      <alignment horizontal="center" vertical="center"/>
    </xf>
    <xf numFmtId="14" fontId="33" fillId="0" borderId="0" xfId="0" applyNumberFormat="1" applyFont="1" applyFill="1" applyBorder="1" applyAlignment="1">
      <alignment horizontal="center" vertical="center"/>
    </xf>
    <xf numFmtId="0" fontId="33" fillId="0" borderId="0" xfId="0" applyFont="1" applyFill="1" applyBorder="1" applyAlignment="1">
      <alignment horizontal="center"/>
    </xf>
    <xf numFmtId="10" fontId="33" fillId="0" borderId="0" xfId="0" applyNumberFormat="1" applyFont="1" applyFill="1" applyBorder="1" applyAlignment="1">
      <alignment horizontal="center" vertical="center"/>
    </xf>
    <xf numFmtId="0" fontId="33" fillId="0" borderId="0" xfId="0" applyFont="1" applyFill="1" applyBorder="1" applyAlignment="1">
      <alignment horizontal="right"/>
    </xf>
    <xf numFmtId="14" fontId="33" fillId="0" borderId="0" xfId="0" applyNumberFormat="1" applyFont="1" applyFill="1" applyBorder="1" applyAlignment="1">
      <alignment horizontal="right"/>
    </xf>
    <xf numFmtId="0" fontId="33" fillId="0" borderId="0" xfId="0" applyFont="1" applyFill="1" applyBorder="1" applyAlignment="1">
      <alignment horizontal="right" vertical="center"/>
    </xf>
    <xf numFmtId="2" fontId="33" fillId="0" borderId="0" xfId="0" applyNumberFormat="1" applyFont="1" applyFill="1" applyBorder="1" applyAlignment="1">
      <alignment horizontal="right"/>
    </xf>
    <xf numFmtId="0" fontId="80" fillId="0" borderId="0" xfId="0" applyFont="1" applyFill="1" applyBorder="1"/>
    <xf numFmtId="0" fontId="76"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horizontal="left" indent="1"/>
    </xf>
    <xf numFmtId="0" fontId="76" fillId="0" borderId="0" xfId="0" applyFont="1" applyFill="1" applyBorder="1"/>
    <xf numFmtId="0" fontId="39" fillId="23" borderId="0" xfId="0" applyFont="1" applyFill="1" applyBorder="1"/>
    <xf numFmtId="173" fontId="40" fillId="23" borderId="0" xfId="11" applyNumberFormat="1" applyFont="1" applyFill="1" applyBorder="1" applyAlignment="1"/>
    <xf numFmtId="0" fontId="36" fillId="23" borderId="0" xfId="0" applyFont="1" applyFill="1" applyBorder="1" applyAlignment="1">
      <alignment vertical="center" wrapText="1"/>
    </xf>
    <xf numFmtId="170" fontId="8" fillId="0" borderId="0" xfId="55" applyFont="1" applyFill="1" applyBorder="1" applyAlignment="1">
      <alignment vertical="center"/>
    </xf>
    <xf numFmtId="168" fontId="8" fillId="0" borderId="0" xfId="55" applyNumberFormat="1" applyFont="1" applyFill="1" applyBorder="1" applyAlignment="1">
      <alignment vertical="center"/>
    </xf>
    <xf numFmtId="0" fontId="6" fillId="0" borderId="0" xfId="0" applyFont="1" applyFill="1" applyBorder="1" applyAlignment="1">
      <alignment horizontal="left" indent="1"/>
    </xf>
    <xf numFmtId="168" fontId="6" fillId="0" borderId="0" xfId="55" applyNumberFormat="1" applyFont="1" applyFill="1" applyBorder="1" applyAlignment="1">
      <alignment vertical="center"/>
    </xf>
    <xf numFmtId="0" fontId="6" fillId="0" borderId="0" xfId="0" applyFont="1" applyFill="1" applyBorder="1" applyAlignment="1">
      <alignment horizontal="left" vertical="center" indent="1"/>
    </xf>
    <xf numFmtId="0" fontId="6" fillId="26" borderId="0" xfId="0" applyFont="1" applyFill="1" applyBorder="1" applyAlignment="1">
      <alignment horizontal="left"/>
    </xf>
    <xf numFmtId="0" fontId="6" fillId="24" borderId="0" xfId="0" applyFont="1" applyFill="1" applyBorder="1" applyAlignment="1">
      <alignment horizontal="left"/>
    </xf>
    <xf numFmtId="168" fontId="8" fillId="0" borderId="0" xfId="55" applyNumberFormat="1" applyFont="1" applyFill="1" applyBorder="1" applyAlignment="1">
      <alignment horizontal="right" vertical="center"/>
    </xf>
    <xf numFmtId="168" fontId="6" fillId="0" borderId="0" xfId="55" applyNumberFormat="1" applyFont="1" applyFill="1" applyBorder="1" applyAlignment="1">
      <alignment horizontal="right" vertical="center"/>
    </xf>
    <xf numFmtId="14" fontId="6" fillId="24" borderId="0" xfId="0" applyNumberFormat="1" applyFont="1" applyFill="1" applyBorder="1" applyAlignment="1"/>
    <xf numFmtId="0" fontId="6" fillId="24" borderId="0" xfId="0" applyFont="1" applyFill="1" applyBorder="1" applyAlignment="1"/>
    <xf numFmtId="174" fontId="6" fillId="24" borderId="0" xfId="11" applyNumberFormat="1" applyFont="1" applyFill="1" applyBorder="1" applyAlignment="1"/>
    <xf numFmtId="185" fontId="6" fillId="24" borderId="0" xfId="0" applyNumberFormat="1" applyFont="1" applyFill="1" applyBorder="1" applyAlignment="1"/>
    <xf numFmtId="0" fontId="45" fillId="0" borderId="0" xfId="0" applyFont="1" applyFill="1" applyBorder="1" applyAlignment="1">
      <alignment vertical="center"/>
    </xf>
    <xf numFmtId="168" fontId="75" fillId="25" borderId="0" xfId="0" applyNumberFormat="1" applyFont="1" applyFill="1" applyBorder="1" applyAlignment="1">
      <alignment vertical="center"/>
    </xf>
    <xf numFmtId="4" fontId="6" fillId="23" borderId="0" xfId="11" applyNumberFormat="1" applyFont="1" applyFill="1" applyBorder="1" applyAlignment="1">
      <alignment vertical="center"/>
    </xf>
    <xf numFmtId="168" fontId="75" fillId="0" borderId="0" xfId="0" applyNumberFormat="1" applyFont="1" applyFill="1" applyBorder="1" applyAlignment="1">
      <alignment vertical="center"/>
    </xf>
    <xf numFmtId="0" fontId="64" fillId="25" borderId="0" xfId="0" applyFont="1" applyFill="1" applyBorder="1" applyAlignment="1">
      <alignment horizontal="right" vertical="center"/>
    </xf>
    <xf numFmtId="0" fontId="75" fillId="0" borderId="0" xfId="0" applyFont="1" applyFill="1" applyBorder="1" applyAlignment="1">
      <alignment vertical="center"/>
    </xf>
    <xf numFmtId="0" fontId="43" fillId="0" borderId="0" xfId="0" applyFont="1" applyFill="1" applyBorder="1" applyAlignment="1">
      <alignment vertical="center"/>
    </xf>
    <xf numFmtId="0" fontId="75" fillId="27" borderId="13" xfId="0" applyFont="1" applyFill="1" applyBorder="1" applyAlignment="1">
      <alignment vertical="center"/>
    </xf>
    <xf numFmtId="0" fontId="50" fillId="0" borderId="0" xfId="0" applyFont="1" applyFill="1" applyBorder="1" applyAlignment="1">
      <alignment horizontal="left" wrapText="1"/>
    </xf>
    <xf numFmtId="171" fontId="27" fillId="25" borderId="0" xfId="0" applyNumberFormat="1" applyFont="1" applyFill="1" applyBorder="1" applyAlignment="1">
      <alignment horizontal="right"/>
    </xf>
    <xf numFmtId="0" fontId="75" fillId="25" borderId="8" xfId="0" applyFont="1" applyFill="1" applyBorder="1" applyAlignment="1">
      <alignment horizontal="right" vertical="center"/>
    </xf>
    <xf numFmtId="1" fontId="27" fillId="0" borderId="0" xfId="0" applyNumberFormat="1" applyFont="1" applyFill="1" applyBorder="1" applyAlignment="1"/>
    <xf numFmtId="181" fontId="24" fillId="0" borderId="0" xfId="4" applyNumberFormat="1" applyFont="1" applyFill="1" applyBorder="1" applyAlignment="1">
      <alignment horizontal="center" vertical="center" wrapText="1"/>
    </xf>
    <xf numFmtId="14" fontId="27" fillId="25" borderId="0" xfId="0" applyNumberFormat="1" applyFont="1" applyFill="1" applyBorder="1" applyAlignment="1"/>
    <xf numFmtId="185" fontId="27" fillId="25" borderId="0" xfId="0" applyNumberFormat="1" applyFont="1" applyFill="1" applyBorder="1" applyAlignment="1"/>
    <xf numFmtId="0" fontId="36" fillId="23" borderId="0" xfId="0" applyFont="1" applyFill="1" applyBorder="1" applyAlignment="1">
      <alignment vertical="top"/>
    </xf>
    <xf numFmtId="0" fontId="36" fillId="24" borderId="0" xfId="0" applyFont="1" applyFill="1" applyBorder="1" applyAlignment="1">
      <alignment vertical="top"/>
    </xf>
    <xf numFmtId="181" fontId="24" fillId="0" borderId="0" xfId="4" applyNumberFormat="1" applyFont="1" applyFill="1" applyBorder="1" applyAlignment="1">
      <alignment horizontal="left" vertical="center" wrapText="1"/>
    </xf>
    <xf numFmtId="181" fontId="8" fillId="0" borderId="0" xfId="4" applyNumberFormat="1" applyFont="1" applyFill="1" applyBorder="1" applyAlignment="1">
      <alignment horizontal="left" vertical="center" indent="1"/>
    </xf>
    <xf numFmtId="0" fontId="6" fillId="0" borderId="0" xfId="0" applyNumberFormat="1" applyFont="1" applyFill="1" applyBorder="1" applyAlignment="1">
      <alignment horizontal="right"/>
    </xf>
    <xf numFmtId="171" fontId="27" fillId="25" borderId="0" xfId="0" applyNumberFormat="1" applyFont="1" applyFill="1" applyBorder="1" applyAlignment="1"/>
    <xf numFmtId="0" fontId="75" fillId="25" borderId="0" xfId="0" applyFont="1" applyFill="1" applyBorder="1" applyAlignment="1">
      <alignment vertical="center" wrapText="1"/>
    </xf>
    <xf numFmtId="10" fontId="75" fillId="25" borderId="0" xfId="11" applyNumberFormat="1" applyFont="1" applyFill="1" applyBorder="1" applyAlignment="1">
      <alignment horizontal="right" vertical="center" wrapText="1"/>
    </xf>
    <xf numFmtId="1" fontId="6" fillId="25" borderId="0" xfId="0" applyNumberFormat="1" applyFont="1" applyFill="1" applyBorder="1" applyAlignment="1"/>
    <xf numFmtId="0" fontId="6" fillId="25" borderId="0" xfId="0" applyNumberFormat="1" applyFont="1" applyFill="1" applyBorder="1" applyAlignment="1"/>
    <xf numFmtId="0" fontId="36" fillId="23" borderId="0" xfId="0" applyFont="1" applyFill="1" applyBorder="1" applyAlignment="1">
      <alignment horizontal="left" vertical="center"/>
    </xf>
    <xf numFmtId="0" fontId="75" fillId="0" borderId="14" xfId="0" applyFont="1" applyFill="1" applyBorder="1" applyAlignment="1">
      <alignment horizontal="center" vertical="center" wrapText="1"/>
    </xf>
    <xf numFmtId="0" fontId="75" fillId="0" borderId="13"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indent="1"/>
    </xf>
    <xf numFmtId="0" fontId="6" fillId="0" borderId="0" xfId="0" applyFont="1" applyAlignment="1">
      <alignment horizontal="center" vertical="center" wrapText="1"/>
    </xf>
    <xf numFmtId="3" fontId="0" fillId="0" borderId="0" xfId="0" applyNumberFormat="1"/>
    <xf numFmtId="0" fontId="75" fillId="27" borderId="12" xfId="0" applyFont="1" applyFill="1" applyBorder="1" applyAlignment="1">
      <alignment horizontal="left" vertical="center" wrapText="1"/>
    </xf>
    <xf numFmtId="0" fontId="75" fillId="25" borderId="0" xfId="0" applyFont="1" applyFill="1"/>
    <xf numFmtId="3" fontId="75" fillId="25" borderId="0" xfId="0" applyNumberFormat="1" applyFont="1" applyFill="1"/>
    <xf numFmtId="0" fontId="83" fillId="28" borderId="15" xfId="0" applyFont="1" applyFill="1" applyBorder="1" applyAlignment="1">
      <alignment horizontal="left" indent="1"/>
    </xf>
    <xf numFmtId="0" fontId="83" fillId="29" borderId="15" xfId="0" applyFont="1" applyFill="1" applyBorder="1" applyAlignment="1">
      <alignment horizontal="left" indent="1"/>
    </xf>
    <xf numFmtId="0" fontId="75" fillId="27" borderId="14" xfId="0" applyFont="1" applyFill="1" applyBorder="1" applyAlignment="1">
      <alignment horizontal="left" vertical="center" wrapText="1"/>
    </xf>
    <xf numFmtId="0" fontId="75" fillId="27" borderId="13" xfId="0" applyFont="1" applyFill="1" applyBorder="1" applyAlignment="1">
      <alignment horizontal="center" vertical="center" wrapText="1"/>
    </xf>
    <xf numFmtId="0" fontId="75" fillId="30" borderId="38" xfId="0" applyFont="1" applyFill="1" applyBorder="1" applyAlignment="1">
      <alignment horizontal="left"/>
    </xf>
    <xf numFmtId="0" fontId="6" fillId="0" borderId="0" xfId="0" applyFont="1" applyFill="1" applyAlignment="1">
      <alignment horizontal="left"/>
    </xf>
    <xf numFmtId="0" fontId="75" fillId="27" borderId="0" xfId="0" applyFont="1" applyFill="1" applyBorder="1" applyAlignment="1">
      <alignment horizontal="center" vertical="center" wrapText="1"/>
    </xf>
    <xf numFmtId="0" fontId="6" fillId="0" borderId="15" xfId="0" applyFont="1" applyFill="1" applyBorder="1" applyAlignment="1">
      <alignment horizontal="left" vertical="center" indent="1"/>
    </xf>
    <xf numFmtId="0" fontId="75" fillId="25" borderId="36" xfId="0" applyFont="1" applyFill="1" applyBorder="1" applyAlignment="1">
      <alignment horizontal="left" vertical="center" wrapText="1"/>
    </xf>
    <xf numFmtId="0" fontId="84" fillId="27" borderId="0" xfId="6" applyFont="1" applyFill="1" applyBorder="1" applyAlignment="1" applyProtection="1">
      <alignment vertical="center" wrapText="1"/>
    </xf>
    <xf numFmtId="0" fontId="75" fillId="0" borderId="7" xfId="0" applyFont="1" applyFill="1" applyBorder="1" applyAlignment="1">
      <alignment vertical="center"/>
    </xf>
    <xf numFmtId="0" fontId="75" fillId="0" borderId="14" xfId="0" applyFont="1" applyFill="1" applyBorder="1" applyAlignment="1">
      <alignment horizontal="left" vertical="center" wrapText="1"/>
    </xf>
    <xf numFmtId="0" fontId="75" fillId="0" borderId="39" xfId="0" applyFont="1" applyFill="1" applyBorder="1" applyAlignment="1">
      <alignment horizontal="center" vertical="center" wrapText="1"/>
    </xf>
    <xf numFmtId="0" fontId="75" fillId="0" borderId="15" xfId="0" applyFont="1" applyFill="1" applyBorder="1" applyAlignment="1">
      <alignment horizontal="left" vertical="center" wrapText="1"/>
    </xf>
    <xf numFmtId="0" fontId="24" fillId="0" borderId="12" xfId="0" applyFont="1" applyFill="1" applyBorder="1"/>
    <xf numFmtId="0" fontId="75" fillId="0" borderId="12" xfId="0" applyFont="1" applyFill="1" applyBorder="1" applyAlignment="1">
      <alignment horizontal="left" vertical="center" wrapText="1"/>
    </xf>
    <xf numFmtId="0" fontId="75" fillId="0" borderId="12" xfId="0" applyFont="1" applyFill="1" applyBorder="1" applyAlignment="1">
      <alignment horizontal="center" vertical="center" wrapText="1"/>
    </xf>
    <xf numFmtId="0" fontId="75" fillId="25" borderId="15" xfId="0" applyFont="1" applyFill="1" applyBorder="1" applyAlignment="1">
      <alignment horizontal="left" vertical="center" wrapText="1"/>
    </xf>
    <xf numFmtId="10" fontId="0" fillId="0" borderId="0" xfId="0" applyNumberFormat="1"/>
    <xf numFmtId="10" fontId="75" fillId="25" borderId="0" xfId="0" applyNumberFormat="1" applyFont="1" applyFill="1"/>
    <xf numFmtId="10" fontId="0" fillId="0" borderId="0" xfId="11" applyNumberFormat="1" applyFont="1"/>
    <xf numFmtId="10" fontId="75" fillId="25" borderId="0" xfId="11" applyNumberFormat="1" applyFont="1" applyFill="1"/>
    <xf numFmtId="3" fontId="75" fillId="25" borderId="0" xfId="0" applyNumberFormat="1" applyFont="1" applyFill="1" applyAlignment="1">
      <alignment horizontal="right" vertical="center"/>
    </xf>
    <xf numFmtId="0" fontId="6" fillId="0" borderId="0" xfId="0" quotePrefix="1" applyFont="1"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wrapText="1"/>
    </xf>
    <xf numFmtId="0" fontId="75" fillId="25" borderId="0" xfId="0" applyFont="1" applyFill="1" applyBorder="1"/>
    <xf numFmtId="173" fontId="48" fillId="26" borderId="12" xfId="11" applyNumberFormat="1" applyFont="1" applyFill="1" applyBorder="1" applyAlignment="1">
      <alignment horizontal="center" vertical="center"/>
    </xf>
    <xf numFmtId="173" fontId="48" fillId="0" borderId="12" xfId="11" applyNumberFormat="1" applyFont="1" applyFill="1" applyBorder="1" applyAlignment="1">
      <alignment horizontal="center" vertical="center"/>
    </xf>
    <xf numFmtId="0" fontId="76" fillId="27" borderId="16" xfId="0" applyFont="1" applyFill="1" applyBorder="1" applyAlignment="1">
      <alignment vertical="center"/>
    </xf>
    <xf numFmtId="0" fontId="76" fillId="27" borderId="40" xfId="0" applyFont="1" applyFill="1" applyBorder="1" applyAlignment="1">
      <alignment vertical="center"/>
    </xf>
    <xf numFmtId="10" fontId="23" fillId="26" borderId="13" xfId="11" applyNumberFormat="1" applyFont="1" applyFill="1" applyBorder="1" applyAlignment="1">
      <alignment vertical="center"/>
    </xf>
    <xf numFmtId="0" fontId="64" fillId="27" borderId="40" xfId="0" applyFont="1" applyFill="1" applyBorder="1" applyAlignment="1">
      <alignment vertical="center" wrapText="1"/>
    </xf>
    <xf numFmtId="0" fontId="64" fillId="27" borderId="15" xfId="0" applyFont="1" applyFill="1" applyBorder="1" applyAlignment="1">
      <alignment vertical="center" wrapText="1"/>
    </xf>
    <xf numFmtId="0" fontId="6" fillId="0" borderId="0" xfId="0" applyFont="1" applyFill="1" applyBorder="1" applyAlignment="1">
      <alignment horizontal="right" vertical="center"/>
    </xf>
    <xf numFmtId="0" fontId="33" fillId="26" borderId="16" xfId="0" applyFont="1" applyFill="1" applyBorder="1" applyAlignment="1">
      <alignment horizontal="right" vertical="center"/>
    </xf>
    <xf numFmtId="14" fontId="33" fillId="24" borderId="16" xfId="0" applyNumberFormat="1" applyFont="1" applyFill="1" applyBorder="1" applyAlignment="1">
      <alignment horizontal="right" vertical="center"/>
    </xf>
    <xf numFmtId="14" fontId="33" fillId="26" borderId="16" xfId="0" applyNumberFormat="1" applyFont="1" applyFill="1" applyBorder="1" applyAlignment="1">
      <alignment horizontal="right" vertical="center"/>
    </xf>
    <xf numFmtId="185" fontId="33" fillId="26" borderId="16" xfId="0" applyNumberFormat="1" applyFont="1" applyFill="1" applyBorder="1" applyAlignment="1">
      <alignment horizontal="right" vertical="center"/>
    </xf>
    <xf numFmtId="1" fontId="33" fillId="24" borderId="16" xfId="0" applyNumberFormat="1" applyFont="1" applyFill="1" applyBorder="1" applyAlignment="1">
      <alignment horizontal="right" vertical="center"/>
    </xf>
    <xf numFmtId="0" fontId="76" fillId="27" borderId="13" xfId="0" applyFont="1" applyFill="1" applyBorder="1" applyAlignment="1">
      <alignment horizontal="center" vertical="center" wrapText="1"/>
    </xf>
    <xf numFmtId="0" fontId="76" fillId="27" borderId="13" xfId="0" applyFont="1" applyFill="1" applyBorder="1" applyAlignment="1">
      <alignment horizontal="left" vertical="center" wrapText="1"/>
    </xf>
    <xf numFmtId="0" fontId="29" fillId="0" borderId="0" xfId="0" applyFont="1" applyFill="1" applyAlignment="1">
      <alignment horizontal="right"/>
    </xf>
    <xf numFmtId="0" fontId="29" fillId="23" borderId="0" xfId="0" applyFont="1" applyFill="1" applyAlignment="1">
      <alignment horizontal="right"/>
    </xf>
    <xf numFmtId="0" fontId="27" fillId="23" borderId="0" xfId="0" applyFont="1" applyFill="1" applyAlignment="1">
      <alignment horizontal="right"/>
    </xf>
    <xf numFmtId="14" fontId="40" fillId="0" borderId="0" xfId="0" applyNumberFormat="1" applyFont="1" applyFill="1" applyBorder="1" applyAlignment="1">
      <alignment horizontal="right" vertical="center"/>
    </xf>
    <xf numFmtId="180" fontId="40" fillId="0" borderId="0"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0" fontId="2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67" fillId="0" borderId="0" xfId="0" applyFont="1" applyFill="1" applyBorder="1" applyAlignment="1">
      <alignment horizontal="center" vertical="center" wrapText="1"/>
    </xf>
    <xf numFmtId="0" fontId="86" fillId="0" borderId="0" xfId="0" applyFont="1" applyFill="1" applyBorder="1"/>
    <xf numFmtId="0" fontId="81" fillId="0" borderId="0" xfId="0" applyFont="1"/>
    <xf numFmtId="0" fontId="26" fillId="0" borderId="0" xfId="0" applyFont="1" applyFill="1" applyBorder="1" applyAlignment="1">
      <alignment horizontal="center" vertical="center" wrapText="1"/>
    </xf>
    <xf numFmtId="182" fontId="27" fillId="0" borderId="0" xfId="0" applyNumberFormat="1" applyFont="1" applyFill="1" applyBorder="1" applyAlignment="1">
      <alignment horizontal="center" vertical="center" wrapText="1"/>
    </xf>
    <xf numFmtId="182" fontId="26" fillId="0" borderId="0" xfId="0" applyNumberFormat="1" applyFont="1" applyFill="1" applyBorder="1" applyAlignment="1">
      <alignment horizontal="center" vertical="center" wrapText="1"/>
    </xf>
    <xf numFmtId="0" fontId="27" fillId="0" borderId="0" xfId="0" applyFont="1" applyFill="1" applyBorder="1" applyAlignment="1">
      <alignment horizontal="left" vertical="center" indent="1"/>
    </xf>
    <xf numFmtId="0" fontId="27" fillId="0" borderId="0" xfId="0" applyFont="1" applyFill="1" applyBorder="1" applyAlignment="1">
      <alignment horizontal="left" vertical="center" indent="2"/>
    </xf>
    <xf numFmtId="172" fontId="40" fillId="0" borderId="0" xfId="0" applyNumberFormat="1" applyFont="1" applyFill="1" applyBorder="1" applyAlignment="1">
      <alignment horizontal="right" vertical="center"/>
    </xf>
    <xf numFmtId="173" fontId="40" fillId="0" borderId="0" xfId="11" applyNumberFormat="1" applyFont="1" applyFill="1" applyBorder="1" applyAlignment="1">
      <alignment horizontal="right" vertical="center"/>
    </xf>
    <xf numFmtId="0" fontId="75" fillId="27" borderId="39" xfId="0" applyFont="1" applyFill="1" applyBorder="1" applyAlignment="1">
      <alignment horizontal="center" vertical="center" wrapText="1"/>
    </xf>
    <xf numFmtId="0" fontId="75" fillId="0" borderId="16" xfId="0" applyFont="1" applyFill="1" applyBorder="1" applyAlignment="1">
      <alignment horizontal="center" vertical="center" wrapText="1"/>
    </xf>
    <xf numFmtId="3" fontId="76" fillId="25" borderId="0" xfId="0" applyNumberFormat="1" applyFont="1" applyFill="1" applyBorder="1" applyAlignment="1">
      <alignment horizontal="right" vertical="center" wrapText="1"/>
    </xf>
    <xf numFmtId="0" fontId="27" fillId="0" borderId="0" xfId="0" applyFont="1" applyFill="1" applyBorder="1" applyAlignment="1">
      <alignment horizontal="left" vertical="center" wrapText="1" indent="1"/>
    </xf>
    <xf numFmtId="3" fontId="75" fillId="25" borderId="12" xfId="0" applyNumberFormat="1" applyFont="1" applyFill="1" applyBorder="1"/>
    <xf numFmtId="3" fontId="75" fillId="25" borderId="45" xfId="0" applyNumberFormat="1" applyFont="1" applyFill="1" applyBorder="1" applyAlignment="1">
      <alignment vertical="center"/>
    </xf>
    <xf numFmtId="10" fontId="75" fillId="25" borderId="45" xfId="11" applyNumberFormat="1" applyFont="1" applyFill="1" applyBorder="1" applyAlignment="1">
      <alignment vertical="center"/>
    </xf>
    <xf numFmtId="10" fontId="75" fillId="25" borderId="34" xfId="11" applyNumberFormat="1" applyFont="1" applyFill="1" applyBorder="1" applyAlignment="1">
      <alignment vertical="center"/>
    </xf>
    <xf numFmtId="10" fontId="75" fillId="25" borderId="12" xfId="0" applyNumberFormat="1" applyFont="1" applyFill="1" applyBorder="1"/>
    <xf numFmtId="3" fontId="0" fillId="0" borderId="0" xfId="0" applyNumberFormat="1" applyFill="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81" fillId="24" borderId="0" xfId="0" applyFont="1" applyFill="1" applyBorder="1"/>
    <xf numFmtId="10" fontId="75" fillId="25" borderId="0" xfId="0" applyNumberFormat="1" applyFont="1" applyFill="1" applyAlignment="1">
      <alignment horizontal="right" vertical="center"/>
    </xf>
    <xf numFmtId="10" fontId="75" fillId="25" borderId="0" xfId="11" applyNumberFormat="1" applyFont="1" applyFill="1" applyAlignment="1">
      <alignment horizontal="right" vertical="center"/>
    </xf>
    <xf numFmtId="168" fontId="74" fillId="0" borderId="23" xfId="0" applyNumberFormat="1" applyFont="1" applyBorder="1"/>
    <xf numFmtId="168" fontId="74" fillId="0" borderId="29" xfId="0" applyNumberFormat="1" applyFont="1" applyBorder="1" applyAlignment="1"/>
    <xf numFmtId="168" fontId="74" fillId="0" borderId="23" xfId="0" applyNumberFormat="1" applyFont="1" applyBorder="1" applyAlignment="1"/>
    <xf numFmtId="168" fontId="74" fillId="0" borderId="25" xfId="0" applyNumberFormat="1" applyFont="1" applyBorder="1"/>
    <xf numFmtId="0" fontId="75" fillId="27" borderId="13" xfId="0" applyFont="1" applyFill="1" applyBorder="1" applyAlignment="1">
      <alignment horizontal="left" vertical="center"/>
    </xf>
    <xf numFmtId="165" fontId="59" fillId="0" borderId="0" xfId="4" applyFont="1" applyFill="1" applyBorder="1" applyAlignment="1">
      <alignment horizontal="center" vertical="center"/>
    </xf>
    <xf numFmtId="171" fontId="81" fillId="0" borderId="0" xfId="0" applyNumberFormat="1" applyFont="1" applyFill="1" applyBorder="1" applyAlignment="1"/>
    <xf numFmtId="171" fontId="81" fillId="0" borderId="0" xfId="0" applyNumberFormat="1" applyFont="1" applyFill="1" applyAlignment="1"/>
    <xf numFmtId="175" fontId="0" fillId="26" borderId="0" xfId="0" applyNumberFormat="1" applyFill="1" applyAlignment="1">
      <alignment horizontal="right" vertical="center"/>
    </xf>
    <xf numFmtId="0" fontId="0" fillId="0" borderId="0" xfId="0" applyFont="1" applyFill="1" applyBorder="1" applyAlignment="1">
      <alignment horizontal="center" vertical="center"/>
    </xf>
    <xf numFmtId="0" fontId="10" fillId="0" borderId="0" xfId="6" applyFill="1" applyBorder="1" applyAlignment="1" applyProtection="1">
      <alignment horizontal="left" vertical="center"/>
    </xf>
    <xf numFmtId="1" fontId="101" fillId="25" borderId="0" xfId="6" applyNumberFormat="1" applyFont="1" applyFill="1" applyBorder="1" applyAlignment="1" applyProtection="1">
      <alignment horizontal="right"/>
    </xf>
    <xf numFmtId="0" fontId="75" fillId="25" borderId="0" xfId="6" applyFont="1" applyFill="1" applyBorder="1" applyAlignment="1" applyProtection="1">
      <alignment horizontal="right" vertical="center"/>
    </xf>
    <xf numFmtId="0" fontId="75" fillId="25" borderId="7" xfId="6" applyFont="1" applyFill="1" applyBorder="1" applyAlignment="1" applyProtection="1">
      <alignment horizontal="right"/>
    </xf>
    <xf numFmtId="0" fontId="75" fillId="25" borderId="0" xfId="6" applyFont="1" applyFill="1" applyBorder="1" applyAlignment="1" applyProtection="1">
      <alignment horizontal="right"/>
    </xf>
    <xf numFmtId="0" fontId="75" fillId="25" borderId="0" xfId="6" applyFont="1" applyFill="1" applyAlignment="1" applyProtection="1">
      <alignment horizontal="right" vertical="center"/>
    </xf>
    <xf numFmtId="1" fontId="75" fillId="25" borderId="0" xfId="6" applyNumberFormat="1" applyFont="1" applyFill="1" applyBorder="1" applyAlignment="1" applyProtection="1">
      <alignment horizontal="right" vertical="center"/>
    </xf>
    <xf numFmtId="0" fontId="75" fillId="27" borderId="0" xfId="6" applyFont="1" applyFill="1" applyBorder="1" applyAlignment="1" applyProtection="1">
      <alignment horizontal="right" vertical="center"/>
    </xf>
    <xf numFmtId="10" fontId="6" fillId="0" borderId="0" xfId="11" applyNumberFormat="1" applyFont="1" applyFill="1" applyBorder="1" applyAlignment="1">
      <alignment horizontal="right" vertical="center"/>
    </xf>
    <xf numFmtId="167" fontId="6"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indent="1"/>
    </xf>
    <xf numFmtId="0" fontId="33" fillId="26" borderId="38" xfId="0" applyFont="1" applyFill="1" applyBorder="1" applyAlignment="1">
      <alignment horizontal="left"/>
    </xf>
    <xf numFmtId="0" fontId="36" fillId="26" borderId="38" xfId="0" applyFont="1" applyFill="1" applyBorder="1" applyAlignment="1">
      <alignment horizontal="left"/>
    </xf>
    <xf numFmtId="0" fontId="0" fillId="0" borderId="0" xfId="0" applyFill="1" applyBorder="1" applyAlignment="1">
      <alignment horizontal="right" vertical="center"/>
    </xf>
    <xf numFmtId="0" fontId="0" fillId="0" borderId="0" xfId="0" applyFont="1" applyFill="1" applyBorder="1" applyAlignment="1">
      <alignment vertical="center"/>
    </xf>
    <xf numFmtId="187" fontId="0" fillId="0" borderId="0" xfId="0" applyNumberFormat="1" applyFont="1" applyFill="1" applyBorder="1" applyAlignment="1">
      <alignment vertical="center"/>
    </xf>
    <xf numFmtId="0" fontId="75" fillId="0" borderId="0" xfId="0" applyFont="1" applyFill="1" applyBorder="1" applyAlignment="1">
      <alignment horizontal="center" vertical="center" wrapText="1"/>
    </xf>
    <xf numFmtId="3" fontId="0" fillId="0" borderId="0" xfId="0" applyNumberFormat="1" applyFill="1" applyBorder="1"/>
    <xf numFmtId="168" fontId="0" fillId="0" borderId="0" xfId="0" applyNumberFormat="1" applyFill="1" applyBorder="1"/>
    <xf numFmtId="0" fontId="0" fillId="0" borderId="0" xfId="0" applyFill="1" applyBorder="1"/>
    <xf numFmtId="3" fontId="75" fillId="62" borderId="0" xfId="0" applyNumberFormat="1" applyFont="1" applyFill="1" applyBorder="1"/>
    <xf numFmtId="168" fontId="75" fillId="62" borderId="0" xfId="0" applyNumberFormat="1" applyFont="1" applyFill="1" applyBorder="1"/>
    <xf numFmtId="0" fontId="75" fillId="62" borderId="0" xfId="0" applyFont="1" applyFill="1" applyBorder="1"/>
    <xf numFmtId="3" fontId="75" fillId="62" borderId="36" xfId="0" applyNumberFormat="1" applyFont="1" applyFill="1" applyBorder="1" applyAlignment="1">
      <alignment horizontal="right" vertical="center"/>
    </xf>
    <xf numFmtId="168" fontId="75" fillId="62" borderId="45" xfId="0" applyNumberFormat="1" applyFont="1" applyFill="1" applyBorder="1" applyAlignment="1">
      <alignment horizontal="right" vertical="center"/>
    </xf>
    <xf numFmtId="3" fontId="75" fillId="62" borderId="45"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75" fillId="62" borderId="0" xfId="0" applyNumberFormat="1" applyFont="1" applyFill="1" applyBorder="1" applyAlignment="1">
      <alignment horizontal="right" vertical="center"/>
    </xf>
    <xf numFmtId="14" fontId="74" fillId="0" borderId="23" xfId="0" applyNumberFormat="1" applyFont="1" applyFill="1" applyBorder="1" applyAlignment="1">
      <alignment horizontal="right"/>
    </xf>
    <xf numFmtId="14" fontId="72" fillId="0" borderId="0" xfId="0" applyNumberFormat="1" applyFont="1" applyFill="1" applyBorder="1" applyAlignment="1">
      <alignment horizontal="right"/>
    </xf>
    <xf numFmtId="49" fontId="72" fillId="0" borderId="0" xfId="0" quotePrefix="1" applyNumberFormat="1" applyFont="1" applyFill="1" applyBorder="1" applyAlignment="1">
      <alignment horizontal="right"/>
    </xf>
    <xf numFmtId="0" fontId="74" fillId="0" borderId="0" xfId="0" applyFont="1" applyFill="1" applyAlignment="1">
      <alignment horizontal="center" vertical="center"/>
    </xf>
    <xf numFmtId="3" fontId="74" fillId="0" borderId="0" xfId="0" applyNumberFormat="1" applyFont="1" applyFill="1" applyAlignment="1">
      <alignment horizontal="right"/>
    </xf>
    <xf numFmtId="185" fontId="74" fillId="0" borderId="0" xfId="0" applyNumberFormat="1" applyFont="1" applyFill="1" applyAlignment="1">
      <alignment horizontal="center" vertical="center"/>
    </xf>
    <xf numFmtId="174" fontId="74" fillId="0" borderId="0" xfId="11" applyNumberFormat="1" applyFont="1" applyFill="1" applyAlignment="1">
      <alignment horizontal="center" vertical="center"/>
    </xf>
    <xf numFmtId="173" fontId="72" fillId="0" borderId="0" xfId="11" applyNumberFormat="1" applyFont="1" applyFill="1" applyBorder="1" applyAlignment="1">
      <alignment horizontal="center" vertical="center" wrapText="1"/>
    </xf>
    <xf numFmtId="0" fontId="74" fillId="0" borderId="0" xfId="0" applyFont="1" applyFill="1" applyAlignment="1">
      <alignment horizontal="right" wrapText="1"/>
    </xf>
    <xf numFmtId="4" fontId="74" fillId="0" borderId="0" xfId="0" applyNumberFormat="1" applyFont="1" applyFill="1" applyAlignment="1">
      <alignment horizontal="center" vertical="center"/>
    </xf>
    <xf numFmtId="168" fontId="74" fillId="0" borderId="0" xfId="0" applyNumberFormat="1" applyFont="1" applyAlignment="1">
      <alignment horizontal="right" vertical="center"/>
    </xf>
    <xf numFmtId="0" fontId="104" fillId="0" borderId="0" xfId="0" applyFont="1" applyAlignment="1"/>
    <xf numFmtId="0" fontId="78" fillId="25" borderId="0" xfId="0" applyFont="1" applyFill="1" applyAlignment="1"/>
    <xf numFmtId="0" fontId="78" fillId="25" borderId="7" xfId="0" applyFont="1" applyFill="1" applyBorder="1" applyAlignment="1">
      <alignment horizontal="center" vertical="center"/>
    </xf>
    <xf numFmtId="184" fontId="78" fillId="25" borderId="0" xfId="0" applyNumberFormat="1" applyFont="1" applyFill="1" applyBorder="1" applyAlignment="1">
      <alignment horizontal="center" vertical="center" wrapText="1"/>
    </xf>
    <xf numFmtId="184" fontId="78" fillId="25" borderId="7" xfId="0" applyNumberFormat="1" applyFont="1" applyFill="1" applyBorder="1" applyAlignment="1">
      <alignment horizontal="center" vertical="center" wrapText="1"/>
    </xf>
    <xf numFmtId="0" fontId="78" fillId="25" borderId="7" xfId="0" applyFont="1" applyFill="1" applyBorder="1" applyAlignment="1">
      <alignment horizontal="center" vertical="center" wrapText="1"/>
    </xf>
    <xf numFmtId="0" fontId="74" fillId="25" borderId="0" xfId="0" applyFont="1" applyFill="1"/>
    <xf numFmtId="179" fontId="74" fillId="25" borderId="0" xfId="0" applyNumberFormat="1" applyFont="1" applyFill="1" applyBorder="1" applyAlignment="1"/>
    <xf numFmtId="4" fontId="74" fillId="25" borderId="0" xfId="0" applyNumberFormat="1" applyFont="1" applyFill="1"/>
    <xf numFmtId="174" fontId="74" fillId="25" borderId="0" xfId="11" applyNumberFormat="1" applyFont="1" applyFill="1"/>
    <xf numFmtId="0" fontId="78" fillId="25" borderId="0" xfId="0" applyFont="1" applyFill="1" applyBorder="1" applyAlignment="1">
      <alignment horizontal="center" vertical="center" wrapText="1"/>
    </xf>
    <xf numFmtId="3" fontId="6" fillId="0" borderId="12" xfId="0" applyNumberFormat="1" applyFont="1" applyFill="1" applyBorder="1" applyAlignment="1">
      <alignment vertical="center"/>
    </xf>
    <xf numFmtId="10" fontId="6" fillId="0" borderId="12" xfId="11" applyNumberFormat="1" applyFont="1" applyFill="1" applyBorder="1" applyAlignment="1">
      <alignment vertical="center"/>
    </xf>
    <xf numFmtId="10" fontId="6" fillId="0" borderId="16" xfId="11" applyNumberFormat="1" applyFont="1" applyFill="1" applyBorder="1" applyAlignment="1">
      <alignment vertical="center"/>
    </xf>
    <xf numFmtId="3" fontId="6" fillId="0" borderId="15" xfId="0" applyNumberFormat="1" applyFont="1" applyFill="1" applyBorder="1" applyAlignment="1">
      <alignment horizontal="right" vertical="center"/>
    </xf>
    <xf numFmtId="168" fontId="6" fillId="0" borderId="12" xfId="0" applyNumberFormat="1" applyFont="1" applyFill="1" applyBorder="1" applyAlignment="1">
      <alignment horizontal="right" vertical="center"/>
    </xf>
    <xf numFmtId="3" fontId="6" fillId="0" borderId="12" xfId="0" applyNumberFormat="1" applyFont="1" applyFill="1" applyBorder="1" applyAlignment="1">
      <alignment horizontal="right" vertical="center"/>
    </xf>
    <xf numFmtId="10" fontId="0" fillId="0" borderId="0" xfId="0" applyNumberFormat="1" applyFill="1"/>
    <xf numFmtId="10" fontId="0" fillId="0" borderId="0" xfId="11" applyNumberFormat="1" applyFont="1" applyFill="1"/>
    <xf numFmtId="3" fontId="6" fillId="0" borderId="0" xfId="0" applyNumberFormat="1" applyFont="1" applyFill="1" applyAlignment="1">
      <alignment horizontal="right" vertical="center"/>
    </xf>
    <xf numFmtId="10" fontId="0" fillId="0" borderId="0" xfId="0" applyNumberFormat="1" applyFill="1" applyAlignment="1">
      <alignment horizontal="right" vertical="center"/>
    </xf>
    <xf numFmtId="10" fontId="0" fillId="0" borderId="0" xfId="11" applyNumberFormat="1" applyFont="1" applyFill="1" applyAlignment="1">
      <alignment horizontal="right" vertical="center"/>
    </xf>
    <xf numFmtId="3" fontId="0" fillId="0" borderId="0" xfId="0" applyNumberFormat="1" applyFill="1" applyAlignment="1">
      <alignment horizontal="right" vertical="center"/>
    </xf>
    <xf numFmtId="3" fontId="6" fillId="0" borderId="0" xfId="0" applyNumberFormat="1" applyFont="1" applyFill="1" applyBorder="1" applyAlignment="1">
      <alignment horizontal="right" vertical="center"/>
    </xf>
    <xf numFmtId="0" fontId="35" fillId="63" borderId="0" xfId="6" applyFont="1" applyFill="1" applyAlignment="1" applyProtection="1"/>
    <xf numFmtId="0" fontId="36" fillId="26" borderId="0" xfId="0" applyFont="1" applyFill="1" applyBorder="1" applyAlignment="1">
      <alignment vertical="center" wrapText="1"/>
    </xf>
    <xf numFmtId="0" fontId="33" fillId="26" borderId="0" xfId="0" applyFont="1" applyFill="1" applyBorder="1" applyAlignment="1">
      <alignment vertical="center" wrapText="1"/>
    </xf>
    <xf numFmtId="0" fontId="74" fillId="0" borderId="0" xfId="0" quotePrefix="1" applyFont="1" applyAlignment="1">
      <alignment vertical="top"/>
    </xf>
    <xf numFmtId="0" fontId="27" fillId="24" borderId="0" xfId="0" applyFont="1" applyFill="1" applyBorder="1" applyAlignment="1">
      <alignment horizontal="center" vertical="center"/>
    </xf>
    <xf numFmtId="0" fontId="26" fillId="24" borderId="0" xfId="0" applyFont="1" applyFill="1" applyBorder="1" applyAlignment="1">
      <alignment horizontal="center" vertical="center"/>
    </xf>
    <xf numFmtId="10" fontId="6" fillId="0" borderId="0" xfId="11" applyNumberFormat="1" applyFont="1" applyFill="1" applyBorder="1" applyAlignment="1">
      <alignment horizontal="right" vertical="center" wrapText="1"/>
    </xf>
    <xf numFmtId="0" fontId="59" fillId="0" borderId="0" xfId="0" applyFont="1"/>
    <xf numFmtId="188" fontId="6" fillId="0" borderId="0" xfId="4" applyNumberFormat="1" applyFont="1" applyFill="1" applyBorder="1" applyAlignment="1">
      <alignment horizontal="right" vertical="center"/>
    </xf>
    <xf numFmtId="188" fontId="75" fillId="25" borderId="0" xfId="4" applyNumberFormat="1" applyFont="1" applyFill="1" applyBorder="1" applyAlignment="1">
      <alignment horizontal="right" vertical="center"/>
    </xf>
    <xf numFmtId="0" fontId="24" fillId="0" borderId="0" xfId="0" applyFont="1"/>
    <xf numFmtId="3" fontId="75" fillId="62" borderId="12" xfId="4" applyNumberFormat="1" applyFont="1" applyFill="1" applyBorder="1" applyAlignment="1">
      <alignment horizontal="right" vertical="center"/>
    </xf>
    <xf numFmtId="0" fontId="27" fillId="24" borderId="0" xfId="0" quotePrefix="1" applyFont="1" applyFill="1" applyBorder="1" applyAlignment="1">
      <alignment horizontal="center" vertical="center"/>
    </xf>
    <xf numFmtId="0" fontId="26" fillId="24" borderId="0" xfId="0" quotePrefix="1" applyFont="1" applyFill="1" applyBorder="1" applyAlignment="1">
      <alignment horizontal="center" vertical="center"/>
    </xf>
    <xf numFmtId="0" fontId="105" fillId="24" borderId="0" xfId="118" applyFont="1" applyFill="1" applyBorder="1" applyAlignment="1">
      <alignment wrapText="1"/>
    </xf>
    <xf numFmtId="0" fontId="106" fillId="24" borderId="0" xfId="118" applyFont="1" applyFill="1" applyBorder="1"/>
    <xf numFmtId="0" fontId="106" fillId="24" borderId="0" xfId="118" applyFont="1" applyFill="1" applyBorder="1"/>
    <xf numFmtId="0" fontId="106" fillId="24" borderId="0" xfId="118" applyFont="1" applyFill="1" applyBorder="1" applyAlignment="1">
      <alignment wrapText="1"/>
    </xf>
    <xf numFmtId="14" fontId="33" fillId="24" borderId="16"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191" fontId="75" fillId="25" borderId="0" xfId="0" applyNumberFormat="1" applyFont="1" applyFill="1"/>
    <xf numFmtId="183" fontId="6" fillId="0" borderId="12" xfId="4" applyNumberFormat="1" applyFont="1" applyFill="1" applyBorder="1" applyAlignment="1">
      <alignment horizontal="right" vertical="center"/>
    </xf>
    <xf numFmtId="0" fontId="0" fillId="24" borderId="0" xfId="0" applyFill="1"/>
    <xf numFmtId="3" fontId="6" fillId="0" borderId="0" xfId="0" applyNumberFormat="1" applyFont="1" applyAlignment="1">
      <alignment horizontal="right" vertical="center"/>
    </xf>
    <xf numFmtId="0" fontId="105" fillId="24" borderId="0" xfId="432" applyFont="1" applyFill="1" applyBorder="1"/>
    <xf numFmtId="0" fontId="106" fillId="24" borderId="0" xfId="432" applyFont="1" applyFill="1" applyBorder="1" applyAlignment="1">
      <alignment horizontal="left"/>
    </xf>
    <xf numFmtId="191" fontId="0" fillId="0" borderId="0" xfId="0" applyNumberFormat="1" applyFill="1"/>
    <xf numFmtId="0" fontId="3" fillId="0" borderId="0" xfId="432"/>
    <xf numFmtId="190" fontId="33" fillId="24" borderId="0" xfId="432" applyNumberFormat="1" applyFont="1" applyFill="1" applyBorder="1" applyAlignment="1"/>
    <xf numFmtId="0" fontId="106" fillId="24" borderId="0" xfId="432" applyFont="1" applyFill="1" applyBorder="1" applyAlignment="1">
      <alignment horizontal="left"/>
    </xf>
    <xf numFmtId="190" fontId="33" fillId="24" borderId="0" xfId="432" applyNumberFormat="1" applyFont="1" applyFill="1" applyBorder="1" applyAlignment="1">
      <alignment horizontal="left" vertical="top"/>
    </xf>
    <xf numFmtId="4" fontId="27" fillId="0" borderId="0" xfId="0" applyNumberFormat="1" applyFont="1" applyFill="1" applyBorder="1"/>
    <xf numFmtId="0" fontId="36" fillId="24" borderId="36" xfId="0" applyFont="1" applyFill="1" applyBorder="1"/>
    <xf numFmtId="0" fontId="33" fillId="24" borderId="37" xfId="0" applyFont="1" applyFill="1" applyBorder="1"/>
    <xf numFmtId="0" fontId="33" fillId="24" borderId="35" xfId="0" applyFont="1" applyFill="1" applyBorder="1"/>
    <xf numFmtId="190" fontId="36" fillId="24" borderId="0" xfId="432" applyNumberFormat="1" applyFont="1" applyFill="1" applyBorder="1" applyAlignment="1">
      <alignment horizontal="left"/>
    </xf>
    <xf numFmtId="190" fontId="33" fillId="24" borderId="0" xfId="432" applyNumberFormat="1" applyFont="1" applyFill="1" applyBorder="1" applyAlignment="1">
      <alignment horizontal="left"/>
    </xf>
    <xf numFmtId="190" fontId="33" fillId="24" borderId="0" xfId="432" applyNumberFormat="1" applyFont="1" applyFill="1" applyBorder="1" applyAlignment="1">
      <alignment vertical="top"/>
    </xf>
    <xf numFmtId="191" fontId="0" fillId="0" borderId="0" xfId="0" applyNumberFormat="1" applyFill="1" applyBorder="1"/>
    <xf numFmtId="191" fontId="6" fillId="0" borderId="12" xfId="0" applyNumberFormat="1" applyFont="1" applyFill="1" applyBorder="1" applyAlignment="1">
      <alignment horizontal="right" vertical="center"/>
    </xf>
    <xf numFmtId="191" fontId="0" fillId="0" borderId="0" xfId="0" applyNumberFormat="1"/>
    <xf numFmtId="191" fontId="75" fillId="62" borderId="0" xfId="0" applyNumberFormat="1" applyFont="1" applyFill="1" applyBorder="1"/>
    <xf numFmtId="191" fontId="6" fillId="0" borderId="0" xfId="0" applyNumberFormat="1" applyFont="1" applyFill="1" applyBorder="1" applyAlignment="1">
      <alignment horizontal="right" vertical="center"/>
    </xf>
    <xf numFmtId="191" fontId="6" fillId="0" borderId="0" xfId="4" applyNumberFormat="1" applyFont="1" applyFill="1" applyBorder="1" applyAlignment="1">
      <alignment horizontal="right" vertical="center"/>
    </xf>
    <xf numFmtId="191" fontId="75" fillId="25" borderId="0" xfId="4" applyNumberFormat="1" applyFont="1" applyFill="1" applyBorder="1" applyAlignment="1">
      <alignment horizontal="right" vertical="center"/>
    </xf>
    <xf numFmtId="191" fontId="72" fillId="0" borderId="0" xfId="0" applyNumberFormat="1" applyFont="1" applyFill="1" applyBorder="1" applyAlignment="1">
      <alignment horizontal="right"/>
    </xf>
    <xf numFmtId="191" fontId="0" fillId="0" borderId="0" xfId="0" applyNumberFormat="1" applyFill="1" applyAlignment="1">
      <alignment horizontal="right" vertical="center"/>
    </xf>
    <xf numFmtId="0" fontId="139" fillId="28" borderId="12" xfId="0" applyFont="1" applyFill="1" applyBorder="1" applyAlignment="1">
      <alignment horizontal="center" vertical="center"/>
    </xf>
    <xf numFmtId="0" fontId="139" fillId="28" borderId="15" xfId="0" applyFont="1" applyFill="1" applyBorder="1" applyAlignment="1">
      <alignment horizontal="center" vertical="center"/>
    </xf>
    <xf numFmtId="0" fontId="75" fillId="27" borderId="12" xfId="0" applyFont="1" applyFill="1" applyBorder="1" applyAlignment="1">
      <alignment horizontal="center" vertical="center" wrapText="1"/>
    </xf>
    <xf numFmtId="10" fontId="74" fillId="24" borderId="0" xfId="11" applyNumberFormat="1" applyFont="1" applyFill="1" applyAlignment="1">
      <alignment horizontal="center" vertical="center"/>
    </xf>
    <xf numFmtId="14" fontId="74" fillId="24" borderId="0" xfId="0" applyNumberFormat="1" applyFont="1" applyFill="1" applyAlignment="1">
      <alignment horizontal="center" vertical="center"/>
    </xf>
    <xf numFmtId="10" fontId="74" fillId="24" borderId="0" xfId="0" applyNumberFormat="1" applyFont="1" applyFill="1" applyAlignment="1">
      <alignment horizontal="center" vertical="center"/>
    </xf>
    <xf numFmtId="191" fontId="33" fillId="0" borderId="0" xfId="55" applyNumberFormat="1" applyFont="1" applyFill="1" applyBorder="1" applyAlignment="1">
      <alignment horizontal="right"/>
    </xf>
    <xf numFmtId="186" fontId="33" fillId="24" borderId="0" xfId="0" applyNumberFormat="1" applyFont="1" applyFill="1" applyBorder="1" applyAlignment="1">
      <alignment horizontal="right"/>
    </xf>
    <xf numFmtId="191" fontId="6" fillId="0" borderId="0" xfId="55" applyNumberFormat="1" applyFont="1" applyFill="1" applyBorder="1" applyAlignment="1">
      <alignment vertical="center"/>
    </xf>
    <xf numFmtId="191" fontId="75" fillId="25" borderId="0" xfId="55" applyNumberFormat="1" applyFont="1" applyFill="1" applyBorder="1" applyAlignment="1">
      <alignment vertical="center"/>
    </xf>
    <xf numFmtId="191" fontId="6" fillId="0" borderId="0" xfId="0" applyNumberFormat="1" applyFont="1" applyFill="1" applyBorder="1" applyAlignment="1">
      <alignment vertical="center"/>
    </xf>
    <xf numFmtId="191" fontId="6" fillId="0" borderId="0" xfId="0" applyNumberFormat="1" applyFont="1" applyFill="1" applyBorder="1" applyAlignment="1"/>
    <xf numFmtId="191" fontId="8" fillId="0" borderId="0" xfId="0" applyNumberFormat="1" applyFont="1" applyFill="1" applyBorder="1"/>
    <xf numFmtId="191" fontId="6" fillId="0" borderId="0" xfId="0" applyNumberFormat="1" applyFont="1" applyFill="1" applyBorder="1"/>
    <xf numFmtId="0" fontId="75" fillId="99" borderId="13" xfId="0" applyFont="1" applyFill="1" applyBorder="1" applyAlignment="1">
      <alignment horizontal="center" vertical="center"/>
    </xf>
    <xf numFmtId="167" fontId="6" fillId="24" borderId="0" xfId="0" applyNumberFormat="1" applyFont="1" applyFill="1" applyBorder="1"/>
    <xf numFmtId="167" fontId="6" fillId="24" borderId="0" xfId="0" applyNumberFormat="1" applyFont="1" applyFill="1"/>
    <xf numFmtId="0" fontId="82" fillId="27" borderId="13" xfId="0" applyFont="1" applyFill="1" applyBorder="1" applyAlignment="1">
      <alignment horizontal="center" vertical="center"/>
    </xf>
    <xf numFmtId="191" fontId="75" fillId="62" borderId="12" xfId="55" applyNumberFormat="1" applyFont="1" applyFill="1" applyBorder="1" applyAlignment="1">
      <alignment horizontal="right" vertical="center"/>
    </xf>
    <xf numFmtId="191" fontId="75" fillId="62" borderId="45" xfId="0" applyNumberFormat="1" applyFont="1" applyFill="1" applyBorder="1" applyAlignment="1">
      <alignment horizontal="right" vertical="center"/>
    </xf>
    <xf numFmtId="16" fontId="6" fillId="0" borderId="15" xfId="0" quotePrefix="1" applyNumberFormat="1" applyFont="1" applyFill="1" applyBorder="1" applyAlignment="1">
      <alignment horizontal="left" vertical="center" indent="1"/>
    </xf>
    <xf numFmtId="0" fontId="6" fillId="0" borderId="15" xfId="0" quotePrefix="1" applyFont="1" applyFill="1" applyBorder="1" applyAlignment="1">
      <alignment horizontal="left" vertical="center" indent="1"/>
    </xf>
    <xf numFmtId="191" fontId="6" fillId="0" borderId="12" xfId="0" applyNumberFormat="1" applyFont="1" applyFill="1" applyBorder="1" applyAlignment="1">
      <alignment vertical="center"/>
    </xf>
    <xf numFmtId="191" fontId="75" fillId="25" borderId="45" xfId="0" applyNumberFormat="1" applyFont="1" applyFill="1" applyBorder="1" applyAlignment="1">
      <alignment vertical="center"/>
    </xf>
    <xf numFmtId="191" fontId="0" fillId="0" borderId="0" xfId="55" applyNumberFormat="1" applyFont="1" applyFill="1" applyBorder="1" applyAlignment="1">
      <alignment horizontal="right" vertical="center"/>
    </xf>
    <xf numFmtId="191" fontId="75" fillId="62" borderId="0" xfId="55" applyNumberFormat="1" applyFont="1" applyFill="1" applyBorder="1"/>
    <xf numFmtId="191" fontId="75" fillId="25" borderId="12" xfId="0" applyNumberFormat="1" applyFont="1" applyFill="1" applyBorder="1"/>
    <xf numFmtId="0" fontId="6" fillId="0" borderId="0" xfId="0" applyFont="1" applyFill="1" applyAlignment="1">
      <alignment horizontal="left"/>
    </xf>
    <xf numFmtId="191" fontId="0" fillId="0" borderId="0" xfId="0" applyNumberFormat="1" applyFill="1" applyBorder="1" applyAlignment="1">
      <alignment horizontal="right" vertical="center"/>
    </xf>
    <xf numFmtId="191" fontId="75" fillId="62" borderId="0" xfId="0" applyNumberFormat="1" applyFont="1" applyFill="1" applyBorder="1" applyAlignment="1">
      <alignment horizontal="right" vertical="center"/>
    </xf>
    <xf numFmtId="183" fontId="0" fillId="0" borderId="0" xfId="4" applyNumberFormat="1" applyFont="1" applyFill="1" applyBorder="1" applyAlignment="1">
      <alignment horizontal="right" vertical="center"/>
    </xf>
    <xf numFmtId="183" fontId="75" fillId="62" borderId="0" xfId="4" applyNumberFormat="1" applyFont="1" applyFill="1" applyBorder="1" applyAlignment="1">
      <alignment horizontal="right" vertical="center"/>
    </xf>
    <xf numFmtId="183" fontId="6" fillId="0" borderId="0" xfId="4" applyNumberFormat="1" applyFont="1" applyFill="1" applyBorder="1" applyAlignment="1">
      <alignment horizontal="right" vertical="center"/>
    </xf>
    <xf numFmtId="3" fontId="0" fillId="24" borderId="0" xfId="0" applyNumberFormat="1" applyFill="1" applyBorder="1"/>
    <xf numFmtId="191" fontId="0" fillId="24" borderId="0" xfId="0" applyNumberFormat="1" applyFill="1" applyBorder="1"/>
    <xf numFmtId="168" fontId="0" fillId="24" borderId="0" xfId="0" applyNumberFormat="1" applyFill="1" applyBorder="1" applyAlignment="1">
      <alignment horizontal="right" vertical="center"/>
    </xf>
    <xf numFmtId="3" fontId="0" fillId="24" borderId="0" xfId="0" applyNumberFormat="1" applyFill="1" applyBorder="1" applyAlignment="1">
      <alignment horizontal="right" vertical="center"/>
    </xf>
    <xf numFmtId="191" fontId="0" fillId="24" borderId="0" xfId="0" applyNumberFormat="1" applyFill="1"/>
    <xf numFmtId="168" fontId="0" fillId="24" borderId="0" xfId="0" applyNumberFormat="1" applyFill="1"/>
    <xf numFmtId="3" fontId="0" fillId="24" borderId="0" xfId="0" applyNumberFormat="1" applyFill="1"/>
    <xf numFmtId="191" fontId="75" fillId="25" borderId="0" xfId="0" applyNumberFormat="1" applyFont="1" applyFill="1" applyAlignment="1">
      <alignment horizontal="right" vertical="center"/>
    </xf>
    <xf numFmtId="192" fontId="0" fillId="0" borderId="0" xfId="0" applyNumberFormat="1"/>
    <xf numFmtId="0" fontId="0" fillId="100" borderId="0" xfId="0" applyFill="1"/>
    <xf numFmtId="3" fontId="75" fillId="25" borderId="0" xfId="0" applyNumberFormat="1" applyFont="1" applyFill="1" applyBorder="1"/>
    <xf numFmtId="10" fontId="75" fillId="25" borderId="0" xfId="11" applyNumberFormat="1" applyFont="1" applyFill="1" applyBorder="1"/>
    <xf numFmtId="191" fontId="75" fillId="25" borderId="0" xfId="0" applyNumberFormat="1" applyFont="1" applyFill="1" applyBorder="1"/>
    <xf numFmtId="191" fontId="0" fillId="25" borderId="0" xfId="0" applyNumberFormat="1" applyFill="1"/>
    <xf numFmtId="191" fontId="75" fillId="25" borderId="0" xfId="0" applyNumberFormat="1" applyFont="1" applyFill="1" applyBorder="1" applyAlignment="1">
      <alignment horizontal="right" vertical="center"/>
    </xf>
    <xf numFmtId="191" fontId="75" fillId="25" borderId="0" xfId="6" applyNumberFormat="1" applyFont="1" applyFill="1" applyAlignment="1" applyProtection="1">
      <alignment horizontal="right" vertical="center"/>
    </xf>
    <xf numFmtId="191" fontId="0" fillId="0" borderId="0" xfId="0" applyNumberFormat="1" applyAlignment="1">
      <alignment horizontal="right" vertical="center"/>
    </xf>
    <xf numFmtId="0" fontId="75" fillId="62" borderId="0" xfId="0" applyNumberFormat="1" applyFont="1" applyFill="1" applyBorder="1" applyAlignment="1">
      <alignment horizontal="right" vertical="center"/>
    </xf>
    <xf numFmtId="14" fontId="140" fillId="24" borderId="0" xfId="123" applyNumberFormat="1" applyFont="1" applyFill="1" applyAlignment="1"/>
    <xf numFmtId="0" fontId="141" fillId="24" borderId="0" xfId="725" applyFont="1" applyFill="1"/>
    <xf numFmtId="184" fontId="6" fillId="24" borderId="0" xfId="123" applyNumberFormat="1" applyFill="1" applyAlignment="1"/>
    <xf numFmtId="193" fontId="6" fillId="24" borderId="95" xfId="123" applyNumberFormat="1" applyFill="1" applyBorder="1" applyAlignment="1">
      <alignment horizontal="left"/>
    </xf>
    <xf numFmtId="0" fontId="2" fillId="24" borderId="0" xfId="725" applyFill="1"/>
    <xf numFmtId="184" fontId="39" fillId="24" borderId="0" xfId="123" applyNumberFormat="1" applyFont="1" applyFill="1" applyAlignment="1"/>
    <xf numFmtId="184" fontId="30" fillId="24" borderId="108" xfId="123" applyNumberFormat="1" applyFont="1" applyFill="1" applyBorder="1" applyAlignment="1">
      <alignment horizontal="left" vertical="center" wrapText="1"/>
    </xf>
    <xf numFmtId="9" fontId="6" fillId="24" borderId="95" xfId="726" applyFont="1" applyFill="1" applyBorder="1" applyAlignment="1"/>
    <xf numFmtId="184" fontId="6" fillId="24" borderId="95" xfId="123" applyNumberFormat="1" applyFill="1" applyBorder="1" applyAlignment="1"/>
    <xf numFmtId="10" fontId="6" fillId="24" borderId="95" xfId="726" applyNumberFormat="1" applyFont="1" applyFill="1" applyBorder="1" applyAlignment="1"/>
    <xf numFmtId="171" fontId="75" fillId="25" borderId="8" xfId="0" applyNumberFormat="1" applyFont="1" applyFill="1" applyBorder="1" applyAlignment="1">
      <alignment horizontal="right" vertical="center"/>
    </xf>
    <xf numFmtId="14" fontId="75" fillId="25" borderId="0" xfId="0" applyNumberFormat="1" applyFont="1" applyFill="1" applyBorder="1" applyAlignment="1">
      <alignment horizontal="right" vertical="center"/>
    </xf>
    <xf numFmtId="171" fontId="75" fillId="25" borderId="0" xfId="0" applyNumberFormat="1" applyFont="1" applyFill="1" applyBorder="1" applyAlignment="1">
      <alignment horizontal="right"/>
    </xf>
    <xf numFmtId="171" fontId="75" fillId="25" borderId="8" xfId="0" applyNumberFormat="1" applyFont="1" applyFill="1" applyBorder="1" applyAlignment="1">
      <alignment horizontal="right"/>
    </xf>
    <xf numFmtId="191" fontId="0" fillId="26" borderId="110" xfId="0" applyNumberFormat="1" applyFill="1" applyBorder="1" applyAlignment="1">
      <alignment horizontal="right" vertical="center"/>
    </xf>
    <xf numFmtId="0" fontId="6" fillId="0" borderId="0" xfId="0" applyFont="1" applyFill="1" applyAlignment="1"/>
    <xf numFmtId="0" fontId="75" fillId="27" borderId="109" xfId="0" applyFont="1" applyFill="1" applyBorder="1" applyAlignment="1">
      <alignment horizontal="center" vertical="center" wrapText="1"/>
    </xf>
    <xf numFmtId="184" fontId="142" fillId="24" borderId="0" xfId="123" applyNumberFormat="1" applyFont="1" applyFill="1" applyAlignment="1"/>
    <xf numFmtId="0" fontId="141" fillId="24" borderId="0" xfId="0" applyFont="1" applyFill="1"/>
    <xf numFmtId="184" fontId="30" fillId="24" borderId="111" xfId="123" applyNumberFormat="1" applyFont="1" applyFill="1" applyBorder="1" applyAlignment="1">
      <alignment horizontal="left" vertical="center"/>
    </xf>
    <xf numFmtId="194" fontId="30" fillId="24" borderId="112" xfId="11" applyNumberFormat="1" applyFont="1" applyFill="1" applyBorder="1" applyAlignment="1">
      <alignment horizontal="right" vertical="center"/>
    </xf>
    <xf numFmtId="9" fontId="30" fillId="24" borderId="111" xfId="11" applyFont="1" applyFill="1" applyBorder="1" applyAlignment="1">
      <alignment horizontal="right" vertical="center"/>
    </xf>
    <xf numFmtId="184" fontId="30" fillId="24" borderId="6" xfId="123" applyNumberFormat="1" applyFont="1" applyFill="1" applyBorder="1" applyAlignment="1">
      <alignment horizontal="left" vertical="center"/>
    </xf>
    <xf numFmtId="194" fontId="30" fillId="24" borderId="6" xfId="11" applyNumberFormat="1" applyFont="1" applyFill="1" applyBorder="1" applyAlignment="1">
      <alignment horizontal="right" vertical="center"/>
    </xf>
    <xf numFmtId="9" fontId="30" fillId="24" borderId="6" xfId="11" applyFont="1" applyFill="1" applyBorder="1" applyAlignment="1">
      <alignment horizontal="right" vertical="center"/>
    </xf>
    <xf numFmtId="194" fontId="30" fillId="24" borderId="113" xfId="11" applyNumberFormat="1" applyFont="1" applyFill="1" applyBorder="1" applyAlignment="1">
      <alignment horizontal="right" vertical="center"/>
    </xf>
    <xf numFmtId="10" fontId="30" fillId="24" borderId="95" xfId="11" applyNumberFormat="1" applyFont="1" applyFill="1" applyBorder="1" applyAlignment="1">
      <alignment horizontal="right" vertical="center"/>
    </xf>
    <xf numFmtId="10" fontId="30" fillId="24" borderId="95" xfId="11" applyNumberFormat="1" applyFont="1" applyFill="1" applyBorder="1" applyAlignment="1">
      <alignment horizontal="left" vertical="center"/>
    </xf>
    <xf numFmtId="0" fontId="35" fillId="26" borderId="0" xfId="6" applyFont="1" applyFill="1" applyBorder="1" applyAlignment="1" applyProtection="1"/>
    <xf numFmtId="0" fontId="35" fillId="23" borderId="38" xfId="6" applyFont="1" applyFill="1" applyBorder="1" applyAlignment="1" applyProtection="1"/>
    <xf numFmtId="0" fontId="35" fillId="24" borderId="0" xfId="6" applyFont="1" applyFill="1" applyBorder="1" applyAlignment="1" applyProtection="1"/>
    <xf numFmtId="0" fontId="35" fillId="24" borderId="0" xfId="6" applyFont="1" applyFill="1" applyBorder="1" applyAlignment="1" applyProtection="1">
      <alignment horizontal="left"/>
    </xf>
    <xf numFmtId="0" fontId="35" fillId="26" borderId="0" xfId="6" applyFont="1" applyFill="1" applyBorder="1" applyAlignment="1" applyProtection="1">
      <alignment vertical="center" wrapText="1"/>
    </xf>
    <xf numFmtId="0" fontId="10" fillId="28" borderId="12" xfId="6" applyFont="1" applyFill="1" applyBorder="1" applyAlignment="1" applyProtection="1">
      <alignment horizontal="left" vertical="center"/>
    </xf>
    <xf numFmtId="0" fontId="10" fillId="29" borderId="13" xfId="6" applyFont="1" applyFill="1" applyBorder="1" applyAlignment="1" applyProtection="1">
      <alignment horizontal="left" vertical="center"/>
    </xf>
    <xf numFmtId="0" fontId="10" fillId="28" borderId="13" xfId="6" applyFont="1" applyFill="1" applyBorder="1" applyAlignment="1" applyProtection="1">
      <alignment horizontal="left" vertical="center"/>
    </xf>
    <xf numFmtId="165" fontId="0" fillId="0" borderId="0" xfId="4" applyFont="1"/>
    <xf numFmtId="0" fontId="10" fillId="28" borderId="15" xfId="6" applyFont="1" applyFill="1" applyBorder="1" applyAlignment="1" applyProtection="1">
      <alignment horizontal="left" vertical="center"/>
    </xf>
    <xf numFmtId="0" fontId="10" fillId="29" borderId="14" xfId="6" applyFont="1" applyFill="1" applyBorder="1" applyAlignment="1" applyProtection="1">
      <alignment horizontal="left" vertical="center"/>
    </xf>
    <xf numFmtId="0" fontId="10" fillId="101" borderId="13" xfId="6" applyFont="1" applyFill="1" applyBorder="1" applyAlignment="1" applyProtection="1">
      <alignment horizontal="left" vertical="center"/>
    </xf>
    <xf numFmtId="3" fontId="0" fillId="0" borderId="9" xfId="0" applyNumberFormat="1" applyBorder="1"/>
    <xf numFmtId="3" fontId="0" fillId="0" borderId="114" xfId="0" applyNumberFormat="1" applyBorder="1"/>
    <xf numFmtId="3" fontId="0" fillId="0" borderId="115" xfId="0" applyNumberFormat="1" applyBorder="1"/>
    <xf numFmtId="3" fontId="0" fillId="0" borderId="116" xfId="0" applyNumberFormat="1" applyBorder="1"/>
    <xf numFmtId="165" fontId="0" fillId="0" borderId="9" xfId="4" applyFont="1" applyBorder="1"/>
    <xf numFmtId="165" fontId="0" fillId="0" borderId="114" xfId="4" applyFont="1" applyBorder="1"/>
    <xf numFmtId="165" fontId="0" fillId="0" borderId="115" xfId="4" applyFont="1" applyBorder="1"/>
    <xf numFmtId="165" fontId="0" fillId="0" borderId="116" xfId="4" applyFont="1" applyBorder="1"/>
    <xf numFmtId="3" fontId="0" fillId="0" borderId="120" xfId="0" applyNumberFormat="1" applyBorder="1"/>
    <xf numFmtId="3" fontId="0" fillId="0" borderId="121" xfId="0" applyNumberFormat="1" applyBorder="1"/>
    <xf numFmtId="165" fontId="0" fillId="0" borderId="120" xfId="4" applyFont="1" applyBorder="1"/>
    <xf numFmtId="165" fontId="0" fillId="0" borderId="121" xfId="4" applyFont="1" applyBorder="1"/>
    <xf numFmtId="0" fontId="6" fillId="0" borderId="117" xfId="0" applyFont="1" applyBorder="1" applyAlignment="1">
      <alignment horizontal="center"/>
    </xf>
    <xf numFmtId="0" fontId="6" fillId="0" borderId="119" xfId="0" applyFont="1" applyBorder="1" applyAlignment="1">
      <alignment horizontal="center"/>
    </xf>
    <xf numFmtId="0" fontId="6" fillId="0" borderId="118" xfId="0" applyFont="1" applyBorder="1" applyAlignment="1">
      <alignment horizontal="center"/>
    </xf>
    <xf numFmtId="0" fontId="0" fillId="0" borderId="0" xfId="0" applyAlignment="1">
      <alignment horizontal="center"/>
    </xf>
    <xf numFmtId="165" fontId="6" fillId="0" borderId="117" xfId="4" applyFont="1" applyBorder="1" applyAlignment="1">
      <alignment horizontal="center"/>
    </xf>
    <xf numFmtId="165" fontId="6" fillId="0" borderId="119" xfId="4" applyFont="1" applyBorder="1" applyAlignment="1">
      <alignment horizontal="center"/>
    </xf>
    <xf numFmtId="165" fontId="6" fillId="0" borderId="118" xfId="4" applyFont="1" applyBorder="1" applyAlignment="1">
      <alignment horizontal="center"/>
    </xf>
    <xf numFmtId="0" fontId="143" fillId="24" borderId="0" xfId="727" applyFont="1" applyFill="1" applyBorder="1"/>
    <xf numFmtId="0" fontId="17" fillId="102" borderId="0" xfId="727" applyFont="1" applyFill="1" applyBorder="1" applyAlignment="1">
      <alignment horizontal="center" vertical="center" wrapText="1"/>
    </xf>
    <xf numFmtId="0" fontId="143" fillId="0" borderId="0" xfId="727" applyFont="1"/>
    <xf numFmtId="190" fontId="28" fillId="24" borderId="0" xfId="727" applyNumberFormat="1" applyFont="1" applyFill="1" applyBorder="1" applyAlignment="1">
      <alignment vertical="top"/>
    </xf>
    <xf numFmtId="0" fontId="144" fillId="24" borderId="0" xfId="727" applyFont="1" applyFill="1" applyBorder="1" applyAlignment="1">
      <alignment horizontal="left"/>
    </xf>
    <xf numFmtId="0" fontId="105" fillId="24" borderId="0" xfId="727" applyFont="1" applyFill="1" applyBorder="1"/>
    <xf numFmtId="190" fontId="106" fillId="24" borderId="0" xfId="727" applyNumberFormat="1" applyFont="1" applyFill="1" applyBorder="1" applyAlignment="1">
      <alignment vertical="top"/>
    </xf>
    <xf numFmtId="0" fontId="106" fillId="24" borderId="0" xfId="727" applyFont="1" applyFill="1" applyBorder="1" applyAlignment="1">
      <alignment horizontal="left" vertical="top" wrapText="1"/>
    </xf>
    <xf numFmtId="190" fontId="36" fillId="24" borderId="0" xfId="727" applyNumberFormat="1" applyFont="1" applyFill="1" applyBorder="1" applyAlignment="1">
      <alignment vertical="top"/>
    </xf>
    <xf numFmtId="0" fontId="6" fillId="0" borderId="0" xfId="0" applyFont="1" applyFill="1" applyBorder="1" applyAlignment="1">
      <alignment horizontal="left" vertical="center" wrapText="1"/>
    </xf>
    <xf numFmtId="188" fontId="24" fillId="0" borderId="0" xfId="55" applyNumberFormat="1" applyFont="1" applyFill="1" applyBorder="1" applyAlignment="1">
      <alignment horizontal="center" vertical="center" wrapText="1"/>
    </xf>
    <xf numFmtId="191" fontId="6" fillId="0" borderId="0" xfId="72" applyNumberFormat="1" applyFont="1" applyFill="1" applyBorder="1" applyAlignment="1">
      <alignment vertical="center"/>
    </xf>
    <xf numFmtId="191" fontId="6" fillId="0" borderId="0" xfId="0" applyNumberFormat="1" applyFont="1" applyFill="1"/>
    <xf numFmtId="181" fontId="75" fillId="25" borderId="12" xfId="4" applyNumberFormat="1" applyFont="1" applyFill="1" applyBorder="1" applyAlignment="1">
      <alignment horizontal="center" vertical="center" wrapText="1"/>
    </xf>
    <xf numFmtId="0" fontId="0" fillId="25" borderId="0" xfId="0" applyFill="1" applyBorder="1"/>
    <xf numFmtId="166" fontId="0" fillId="0" borderId="0" xfId="4" applyNumberFormat="1" applyFont="1" applyFill="1" applyBorder="1" applyAlignment="1">
      <alignment horizontal="right" vertical="center"/>
    </xf>
    <xf numFmtId="166" fontId="6" fillId="0" borderId="0" xfId="4" applyNumberFormat="1" applyFont="1" applyFill="1" applyBorder="1" applyAlignment="1">
      <alignment horizontal="right" vertical="center" wrapText="1"/>
    </xf>
    <xf numFmtId="165" fontId="0" fillId="0" borderId="0" xfId="0" applyNumberFormat="1"/>
    <xf numFmtId="166" fontId="6" fillId="0" borderId="110" xfId="0" applyNumberFormat="1" applyFont="1" applyFill="1" applyBorder="1" applyAlignment="1">
      <alignment horizontal="left"/>
    </xf>
    <xf numFmtId="0" fontId="6" fillId="24" borderId="0" xfId="208" applyFill="1"/>
    <xf numFmtId="14" fontId="146" fillId="24" borderId="125" xfId="208" applyNumberFormat="1" applyFont="1" applyFill="1" applyBorder="1" applyAlignment="1">
      <alignment horizontal="left" wrapText="1"/>
    </xf>
    <xf numFmtId="0" fontId="146" fillId="24" borderId="126" xfId="208" applyFont="1" applyFill="1" applyBorder="1" applyAlignment="1">
      <alignment horizontal="left" wrapText="1"/>
    </xf>
    <xf numFmtId="0" fontId="146" fillId="24" borderId="127" xfId="208" applyFont="1" applyFill="1" applyBorder="1" applyAlignment="1">
      <alignment horizontal="left" wrapText="1"/>
    </xf>
    <xf numFmtId="14" fontId="146" fillId="24" borderId="122" xfId="208" applyNumberFormat="1" applyFont="1" applyFill="1" applyBorder="1" applyAlignment="1">
      <alignment horizontal="left" wrapText="1"/>
    </xf>
    <xf numFmtId="0" fontId="146" fillId="24" borderId="123" xfId="208" applyFont="1" applyFill="1" applyBorder="1" applyAlignment="1">
      <alignment horizontal="left" wrapText="1"/>
    </xf>
    <xf numFmtId="0" fontId="146" fillId="24" borderId="124" xfId="208" applyFont="1" applyFill="1" applyBorder="1" applyAlignment="1">
      <alignment horizontal="left" wrapText="1"/>
    </xf>
    <xf numFmtId="0" fontId="145" fillId="24" borderId="0" xfId="208" applyFont="1" applyFill="1"/>
    <xf numFmtId="0" fontId="146" fillId="24" borderId="0" xfId="208" applyFont="1" applyFill="1" applyAlignment="1">
      <alignment horizontal="left"/>
    </xf>
    <xf numFmtId="0" fontId="145" fillId="103" borderId="122" xfId="208" applyFont="1" applyFill="1" applyBorder="1" applyAlignment="1">
      <alignment horizontal="left" wrapText="1"/>
    </xf>
    <xf numFmtId="0" fontId="145" fillId="103" borderId="123" xfId="208" applyFont="1" applyFill="1" applyBorder="1" applyAlignment="1">
      <alignment horizontal="left" wrapText="1"/>
    </xf>
    <xf numFmtId="0" fontId="145" fillId="103" borderId="124" xfId="208" applyFont="1" applyFill="1" applyBorder="1" applyAlignment="1">
      <alignment horizontal="left" wrapText="1"/>
    </xf>
    <xf numFmtId="195" fontId="6" fillId="0" borderId="0" xfId="0" applyNumberFormat="1" applyFont="1" applyFill="1" applyAlignment="1">
      <alignment horizontal="left"/>
    </xf>
    <xf numFmtId="0" fontId="6" fillId="0" borderId="0" xfId="0" applyFont="1" applyFill="1" applyAlignment="1">
      <alignment horizontal="left"/>
    </xf>
    <xf numFmtId="0" fontId="83" fillId="28" borderId="12" xfId="0" applyFont="1" applyFill="1" applyBorder="1" applyAlignment="1">
      <alignment horizontal="left" vertical="center" indent="1"/>
    </xf>
    <xf numFmtId="165" fontId="83" fillId="28" borderId="12" xfId="4" applyNumberFormat="1" applyFont="1" applyFill="1" applyBorder="1" applyAlignment="1">
      <alignment vertical="center"/>
    </xf>
    <xf numFmtId="0" fontId="83" fillId="29" borderId="12" xfId="0" applyFont="1" applyFill="1" applyBorder="1" applyAlignment="1">
      <alignment horizontal="left" vertical="center" indent="1"/>
    </xf>
    <xf numFmtId="165" fontId="83" fillId="29" borderId="12" xfId="4" applyNumberFormat="1" applyFont="1" applyFill="1" applyBorder="1" applyAlignment="1">
      <alignment vertical="center"/>
    </xf>
    <xf numFmtId="183" fontId="83" fillId="28" borderId="12" xfId="4" applyNumberFormat="1" applyFont="1" applyFill="1" applyBorder="1" applyAlignment="1">
      <alignment vertical="center"/>
    </xf>
    <xf numFmtId="165" fontId="83" fillId="29" borderId="12" xfId="4" applyFont="1" applyFill="1" applyBorder="1" applyAlignment="1">
      <alignment vertical="center"/>
    </xf>
    <xf numFmtId="166" fontId="6" fillId="0" borderId="0" xfId="0" applyNumberFormat="1" applyFont="1" applyFill="1" applyBorder="1" applyAlignment="1">
      <alignment horizontal="left" vertical="center" indent="1"/>
    </xf>
    <xf numFmtId="183" fontId="0" fillId="0" borderId="12" xfId="4" applyNumberFormat="1" applyFont="1" applyFill="1" applyBorder="1" applyAlignment="1">
      <alignment horizontal="right" vertical="center"/>
    </xf>
    <xf numFmtId="191" fontId="0" fillId="0" borderId="12" xfId="0" applyNumberFormat="1" applyFont="1" applyFill="1" applyBorder="1" applyAlignment="1">
      <alignment horizontal="right" vertical="center"/>
    </xf>
    <xf numFmtId="3" fontId="0" fillId="0" borderId="12" xfId="0" applyNumberFormat="1" applyFont="1" applyFill="1" applyBorder="1" applyAlignment="1">
      <alignment horizontal="right" vertical="center"/>
    </xf>
    <xf numFmtId="168" fontId="0" fillId="0" borderId="12" xfId="0" applyNumberFormat="1" applyFont="1" applyFill="1" applyBorder="1" applyAlignment="1">
      <alignment horizontal="right" vertical="center"/>
    </xf>
    <xf numFmtId="191" fontId="0" fillId="0" borderId="12" xfId="4" applyNumberFormat="1" applyFont="1" applyFill="1" applyBorder="1" applyAlignment="1">
      <alignment horizontal="right" vertical="center"/>
    </xf>
    <xf numFmtId="0" fontId="0" fillId="0" borderId="12" xfId="0" applyFont="1" applyFill="1" applyBorder="1" applyAlignment="1">
      <alignment horizontal="right" vertical="center"/>
    </xf>
    <xf numFmtId="0" fontId="148" fillId="27" borderId="13" xfId="0" applyFont="1" applyFill="1" applyBorder="1" applyAlignment="1">
      <alignment horizontal="center" vertical="center" wrapText="1"/>
    </xf>
    <xf numFmtId="0" fontId="75" fillId="25" borderId="0" xfId="0" applyFont="1" applyFill="1" applyBorder="1" applyAlignment="1">
      <alignment horizontal="center" vertical="center" wrapText="1"/>
    </xf>
    <xf numFmtId="0" fontId="75" fillId="25" borderId="12" xfId="0" applyFont="1" applyFill="1" applyBorder="1" applyAlignment="1">
      <alignment horizontal="center" vertical="center" wrapText="1"/>
    </xf>
    <xf numFmtId="168" fontId="75" fillId="25" borderId="0" xfId="0" applyNumberFormat="1" applyFont="1" applyFill="1" applyBorder="1"/>
    <xf numFmtId="10" fontId="6" fillId="24" borderId="95" xfId="123" applyNumberFormat="1" applyFill="1" applyBorder="1" applyAlignment="1"/>
    <xf numFmtId="194" fontId="74" fillId="0" borderId="0" xfId="11" applyNumberFormat="1" applyFont="1" applyFill="1" applyAlignment="1">
      <alignment horizontal="center" vertical="center"/>
    </xf>
    <xf numFmtId="0" fontId="27" fillId="28" borderId="12" xfId="0" applyFont="1" applyFill="1" applyBorder="1" applyAlignment="1">
      <alignment horizontal="center" vertical="center"/>
    </xf>
    <xf numFmtId="0" fontId="27" fillId="28" borderId="15" xfId="0" applyFont="1" applyFill="1" applyBorder="1" applyAlignment="1">
      <alignment horizontal="center" vertical="center"/>
    </xf>
    <xf numFmtId="10" fontId="6" fillId="0" borderId="0" xfId="11" applyNumberFormat="1" applyFont="1" applyFill="1" applyBorder="1" applyAlignment="1">
      <alignment vertical="center"/>
    </xf>
    <xf numFmtId="191" fontId="75" fillId="62" borderId="12" xfId="0" applyNumberFormat="1" applyFont="1" applyFill="1" applyBorder="1" applyAlignment="1">
      <alignment horizontal="right" vertical="center"/>
    </xf>
    <xf numFmtId="191" fontId="75" fillId="25" borderId="12" xfId="0" applyNumberFormat="1" applyFont="1" applyFill="1" applyBorder="1" applyAlignment="1">
      <alignment horizontal="right" vertical="center"/>
    </xf>
    <xf numFmtId="3" fontId="83" fillId="104" borderId="34" xfId="0" applyNumberFormat="1" applyFont="1" applyFill="1" applyBorder="1"/>
    <xf numFmtId="195" fontId="83" fillId="104" borderId="34" xfId="55" applyNumberFormat="1" applyFont="1" applyFill="1" applyBorder="1"/>
    <xf numFmtId="195" fontId="83" fillId="104" borderId="34" xfId="0" applyNumberFormat="1" applyFont="1" applyFill="1" applyBorder="1"/>
    <xf numFmtId="3" fontId="75" fillId="62" borderId="34" xfId="0" applyNumberFormat="1" applyFont="1" applyFill="1" applyBorder="1"/>
    <xf numFmtId="191" fontId="75" fillId="62" borderId="34" xfId="0" applyNumberFormat="1" applyFont="1" applyFill="1" applyBorder="1"/>
    <xf numFmtId="3" fontId="75" fillId="62" borderId="34" xfId="0" applyNumberFormat="1" applyFont="1" applyFill="1" applyBorder="1" applyAlignment="1">
      <alignment horizontal="right" vertical="center"/>
    </xf>
    <xf numFmtId="191" fontId="75" fillId="62" borderId="34" xfId="0" applyNumberFormat="1" applyFont="1" applyFill="1" applyBorder="1" applyAlignment="1">
      <alignment horizontal="right" vertical="center"/>
    </xf>
    <xf numFmtId="3" fontId="75" fillId="62" borderId="16" xfId="0" applyNumberFormat="1" applyFont="1" applyFill="1" applyBorder="1"/>
    <xf numFmtId="191" fontId="75" fillId="62" borderId="16" xfId="0" applyNumberFormat="1" applyFont="1" applyFill="1" applyBorder="1"/>
    <xf numFmtId="3" fontId="75" fillId="62" borderId="16" xfId="0" applyNumberFormat="1" applyFont="1" applyFill="1" applyBorder="1" applyAlignment="1">
      <alignment horizontal="right" vertical="center"/>
    </xf>
    <xf numFmtId="191" fontId="75" fillId="62" borderId="16" xfId="0" applyNumberFormat="1" applyFont="1" applyFill="1" applyBorder="1" applyAlignment="1">
      <alignment horizontal="right" vertical="center"/>
    </xf>
    <xf numFmtId="3" fontId="83" fillId="104" borderId="12" xfId="0" applyNumberFormat="1" applyFont="1" applyFill="1" applyBorder="1"/>
    <xf numFmtId="195" fontId="83" fillId="104" borderId="12" xfId="55" applyNumberFormat="1" applyFont="1" applyFill="1" applyBorder="1"/>
    <xf numFmtId="195" fontId="83" fillId="104" borderId="12" xfId="0" applyNumberFormat="1" applyFont="1" applyFill="1" applyBorder="1"/>
    <xf numFmtId="3" fontId="0" fillId="24" borderId="0" xfId="0" applyNumberFormat="1" applyFill="1" applyAlignment="1">
      <alignment horizontal="right" vertical="center"/>
    </xf>
    <xf numFmtId="168" fontId="0" fillId="24" borderId="0" xfId="0" applyNumberFormat="1" applyFill="1" applyAlignment="1">
      <alignment horizontal="right" vertical="center"/>
    </xf>
    <xf numFmtId="3" fontId="75" fillId="25" borderId="0" xfId="0" applyNumberFormat="1" applyFont="1" applyFill="1" applyBorder="1" applyAlignment="1">
      <alignment horizontal="right" vertical="center"/>
    </xf>
    <xf numFmtId="191" fontId="75" fillId="25" borderId="12" xfId="55" applyNumberFormat="1" applyFont="1" applyFill="1" applyBorder="1" applyAlignment="1">
      <alignment horizontal="right" vertical="center"/>
    </xf>
    <xf numFmtId="168" fontId="75" fillId="25" borderId="12" xfId="0" applyNumberFormat="1" applyFont="1" applyFill="1" applyBorder="1" applyAlignment="1">
      <alignment horizontal="right" vertical="center"/>
    </xf>
    <xf numFmtId="166" fontId="6" fillId="0" borderId="128" xfId="0" applyNumberFormat="1" applyFont="1" applyFill="1" applyBorder="1" applyAlignment="1">
      <alignment horizontal="left"/>
    </xf>
    <xf numFmtId="166" fontId="0" fillId="0" borderId="128" xfId="0" applyNumberFormat="1" applyFill="1" applyBorder="1" applyAlignment="1">
      <alignment horizontal="center"/>
    </xf>
    <xf numFmtId="194" fontId="30" fillId="24" borderId="111" xfId="11" applyNumberFormat="1" applyFont="1" applyFill="1" applyBorder="1" applyAlignment="1">
      <alignment horizontal="right" vertical="center"/>
    </xf>
    <xf numFmtId="165" fontId="75" fillId="27" borderId="13" xfId="4" applyFont="1" applyFill="1" applyBorder="1" applyAlignment="1">
      <alignment horizontal="center" vertical="center"/>
    </xf>
    <xf numFmtId="173" fontId="74" fillId="0" borderId="23" xfId="11" applyNumberFormat="1" applyFont="1" applyFill="1" applyBorder="1"/>
    <xf numFmtId="164" fontId="0" fillId="0" borderId="0" xfId="0" applyNumberFormat="1"/>
    <xf numFmtId="164" fontId="0" fillId="0" borderId="0" xfId="0" applyNumberFormat="1" applyFill="1"/>
    <xf numFmtId="0" fontId="150" fillId="0" borderId="12" xfId="0" applyFont="1" applyFill="1" applyBorder="1"/>
    <xf numFmtId="0" fontId="6" fillId="0" borderId="0" xfId="0" applyFont="1" applyFill="1" applyBorder="1" applyAlignment="1">
      <alignment horizontal="center" vertical="center" wrapText="1"/>
    </xf>
    <xf numFmtId="0" fontId="6" fillId="0" borderId="129" xfId="0" applyFont="1" applyFill="1" applyBorder="1" applyAlignment="1">
      <alignment horizontal="center" vertical="center" wrapText="1"/>
    </xf>
    <xf numFmtId="14" fontId="74" fillId="63" borderId="0" xfId="0" applyNumberFormat="1" applyFont="1" applyFill="1"/>
    <xf numFmtId="175" fontId="74" fillId="63" borderId="0" xfId="11" applyNumberFormat="1" applyFont="1" applyFill="1"/>
    <xf numFmtId="10" fontId="74" fillId="63" borderId="0" xfId="11" applyNumberFormat="1" applyFont="1" applyFill="1"/>
    <xf numFmtId="185" fontId="74" fillId="63" borderId="0" xfId="0" applyNumberFormat="1" applyFont="1" applyFill="1" applyAlignment="1">
      <alignment horizontal="center" vertical="center"/>
    </xf>
    <xf numFmtId="174" fontId="74" fillId="63" borderId="0" xfId="11" applyNumberFormat="1" applyFont="1" applyFill="1"/>
    <xf numFmtId="191" fontId="74" fillId="63" borderId="0" xfId="0" applyNumberFormat="1" applyFont="1" applyFill="1" applyBorder="1" applyAlignment="1"/>
    <xf numFmtId="191" fontId="74" fillId="0" borderId="0" xfId="0" applyNumberFormat="1" applyFont="1" applyBorder="1"/>
    <xf numFmtId="44" fontId="74" fillId="0" borderId="0" xfId="0" applyNumberFormat="1" applyFont="1" applyBorder="1"/>
    <xf numFmtId="173" fontId="72" fillId="63" borderId="8" xfId="11" applyNumberFormat="1" applyFont="1" applyFill="1" applyBorder="1" applyAlignment="1">
      <alignment horizontal="center" vertical="center" wrapText="1"/>
    </xf>
    <xf numFmtId="4" fontId="74" fillId="63" borderId="0" xfId="0" applyNumberFormat="1" applyFont="1" applyFill="1" applyAlignment="1">
      <alignment horizontal="center" vertical="center"/>
    </xf>
    <xf numFmtId="14" fontId="72" fillId="63" borderId="0" xfId="0" applyNumberFormat="1" applyFont="1" applyFill="1" applyBorder="1" applyAlignment="1">
      <alignment horizontal="right"/>
    </xf>
    <xf numFmtId="49" fontId="72" fillId="63" borderId="0" xfId="0" quotePrefix="1" applyNumberFormat="1" applyFont="1" applyFill="1" applyBorder="1" applyAlignment="1">
      <alignment horizontal="right"/>
    </xf>
    <xf numFmtId="191" fontId="72" fillId="63" borderId="0" xfId="0" applyNumberFormat="1" applyFont="1" applyFill="1" applyBorder="1" applyAlignment="1">
      <alignment horizontal="right"/>
    </xf>
    <xf numFmtId="10" fontId="74" fillId="63" borderId="0" xfId="0" applyNumberFormat="1" applyFont="1" applyFill="1" applyAlignment="1">
      <alignment horizontal="right" vertical="center"/>
    </xf>
    <xf numFmtId="14" fontId="74" fillId="63" borderId="0" xfId="0" applyNumberFormat="1" applyFont="1" applyFill="1" applyAlignment="1">
      <alignment horizontal="right" vertical="center"/>
    </xf>
    <xf numFmtId="14" fontId="74" fillId="63" borderId="0" xfId="0" applyNumberFormat="1" applyFont="1" applyFill="1" applyAlignment="1">
      <alignment horizontal="right"/>
    </xf>
    <xf numFmtId="0" fontId="74" fillId="63" borderId="0" xfId="0" applyFont="1" applyFill="1" applyAlignment="1">
      <alignment horizontal="right"/>
    </xf>
    <xf numFmtId="3" fontId="74" fillId="63" borderId="0" xfId="0" applyNumberFormat="1" applyFont="1" applyFill="1" applyAlignment="1">
      <alignment horizontal="right"/>
    </xf>
    <xf numFmtId="0" fontId="74" fillId="63" borderId="0" xfId="0" applyFont="1" applyFill="1" applyAlignment="1">
      <alignment horizontal="center" vertical="center"/>
    </xf>
    <xf numFmtId="174" fontId="74" fillId="63" borderId="0" xfId="11" applyNumberFormat="1" applyFont="1" applyFill="1" applyAlignment="1">
      <alignment horizontal="center" vertical="center"/>
    </xf>
    <xf numFmtId="10" fontId="74" fillId="63" borderId="0" xfId="11" applyNumberFormat="1" applyFont="1" applyFill="1" applyAlignment="1">
      <alignment horizontal="center" vertical="center"/>
    </xf>
    <xf numFmtId="14" fontId="74" fillId="63" borderId="0" xfId="0" applyNumberFormat="1" applyFont="1" applyFill="1" applyAlignment="1">
      <alignment horizontal="center" vertical="center"/>
    </xf>
    <xf numFmtId="10" fontId="151" fillId="63" borderId="0" xfId="0" applyNumberFormat="1" applyFont="1" applyFill="1" applyAlignment="1">
      <alignment horizontal="center" vertical="center"/>
    </xf>
    <xf numFmtId="10" fontId="74" fillId="100" borderId="0" xfId="11" applyNumberFormat="1" applyFont="1" applyFill="1"/>
    <xf numFmtId="174" fontId="74" fillId="100" borderId="0" xfId="11" applyNumberFormat="1" applyFont="1" applyFill="1"/>
    <xf numFmtId="185" fontId="74" fillId="100" borderId="0" xfId="0" applyNumberFormat="1" applyFont="1" applyFill="1" applyAlignment="1">
      <alignment horizontal="center" vertical="center"/>
    </xf>
    <xf numFmtId="168" fontId="74" fillId="100" borderId="0" xfId="0" applyNumberFormat="1" applyFont="1" applyFill="1" applyAlignment="1">
      <alignment horizontal="right" vertical="center"/>
    </xf>
    <xf numFmtId="168" fontId="74" fillId="63" borderId="0" xfId="0" applyNumberFormat="1" applyFont="1" applyFill="1" applyAlignment="1">
      <alignment horizontal="right" vertical="center"/>
    </xf>
    <xf numFmtId="3" fontId="74" fillId="63" borderId="0" xfId="4" applyNumberFormat="1" applyFont="1" applyFill="1"/>
    <xf numFmtId="183" fontId="74" fillId="63" borderId="0" xfId="4" applyNumberFormat="1" applyFont="1" applyFill="1"/>
    <xf numFmtId="10" fontId="6" fillId="24" borderId="0" xfId="11" applyNumberFormat="1" applyFont="1" applyFill="1" applyBorder="1" applyAlignment="1">
      <alignment horizontal="right"/>
    </xf>
    <xf numFmtId="0" fontId="6" fillId="26" borderId="0" xfId="0" applyFont="1" applyFill="1" applyBorder="1" applyAlignment="1">
      <alignment horizontal="right"/>
    </xf>
    <xf numFmtId="0" fontId="6" fillId="24" borderId="0" xfId="0" applyFont="1" applyFill="1" applyBorder="1" applyAlignment="1">
      <alignment horizontal="right"/>
    </xf>
    <xf numFmtId="10" fontId="72" fillId="63" borderId="8" xfId="11" applyNumberFormat="1" applyFont="1" applyFill="1" applyBorder="1" applyAlignment="1">
      <alignment horizontal="center" vertical="center" wrapText="1"/>
    </xf>
    <xf numFmtId="194" fontId="74" fillId="100" borderId="0" xfId="11" applyNumberFormat="1" applyFont="1" applyFill="1" applyAlignment="1">
      <alignment horizontal="center" vertical="center"/>
    </xf>
    <xf numFmtId="196" fontId="74" fillId="63" borderId="0" xfId="0" applyNumberFormat="1" applyFont="1" applyFill="1"/>
    <xf numFmtId="14" fontId="6" fillId="26" borderId="0" xfId="0" applyNumberFormat="1" applyFont="1" applyFill="1" applyBorder="1" applyAlignment="1"/>
    <xf numFmtId="0" fontId="6" fillId="26" borderId="0" xfId="0" applyFont="1" applyFill="1" applyBorder="1" applyAlignment="1"/>
    <xf numFmtId="10" fontId="6" fillId="24" borderId="0" xfId="11" applyNumberFormat="1" applyFont="1" applyFill="1" applyBorder="1" applyAlignment="1"/>
    <xf numFmtId="181" fontId="75" fillId="25" borderId="12" xfId="4" applyNumberFormat="1" applyFont="1" applyFill="1" applyBorder="1" applyAlignment="1">
      <alignment horizontal="left" vertical="center"/>
    </xf>
    <xf numFmtId="191" fontId="75" fillId="25" borderId="12" xfId="4" applyNumberFormat="1" applyFont="1" applyFill="1" applyBorder="1" applyAlignment="1">
      <alignment horizontal="right" vertical="center"/>
    </xf>
    <xf numFmtId="197" fontId="74" fillId="63" borderId="0" xfId="0" applyNumberFormat="1" applyFont="1" applyFill="1"/>
    <xf numFmtId="0" fontId="151" fillId="105" borderId="0" xfId="0" applyFont="1" applyFill="1" applyAlignment="1">
      <alignment horizontal="right" wrapText="1"/>
    </xf>
    <xf numFmtId="0" fontId="106" fillId="23" borderId="0" xfId="0" applyFont="1" applyFill="1" applyBorder="1" applyAlignment="1">
      <alignment vertical="center" wrapText="1"/>
    </xf>
    <xf numFmtId="0" fontId="83" fillId="0" borderId="15" xfId="0" applyFont="1" applyFill="1" applyBorder="1" applyAlignment="1">
      <alignment horizontal="left" indent="1"/>
    </xf>
    <xf numFmtId="0" fontId="83" fillId="0" borderId="38" xfId="0" applyFont="1" applyFill="1" applyBorder="1" applyAlignment="1">
      <alignment horizontal="left" indent="1"/>
    </xf>
    <xf numFmtId="0" fontId="6" fillId="0" borderId="12" xfId="0" applyFont="1" applyFill="1" applyBorder="1" applyAlignment="1">
      <alignment horizontal="right" vertical="center"/>
    </xf>
    <xf numFmtId="10" fontId="0" fillId="24" borderId="0" xfId="0" applyNumberFormat="1" applyFill="1"/>
    <xf numFmtId="3" fontId="152" fillId="62" borderId="34" xfId="0" applyNumberFormat="1" applyFont="1" applyFill="1" applyBorder="1"/>
    <xf numFmtId="191" fontId="152" fillId="62" borderId="34" xfId="0" applyNumberFormat="1" applyFont="1" applyFill="1" applyBorder="1"/>
    <xf numFmtId="3" fontId="152" fillId="62" borderId="34" xfId="0" applyNumberFormat="1" applyFont="1" applyFill="1" applyBorder="1" applyAlignment="1">
      <alignment horizontal="right" vertical="center"/>
    </xf>
    <xf numFmtId="191" fontId="152" fillId="62" borderId="34" xfId="0" applyNumberFormat="1" applyFont="1" applyFill="1" applyBorder="1" applyAlignment="1">
      <alignment horizontal="right" vertical="center"/>
    </xf>
    <xf numFmtId="191" fontId="152" fillId="62" borderId="45" xfId="0" applyNumberFormat="1" applyFont="1" applyFill="1" applyBorder="1" applyAlignment="1">
      <alignment horizontal="right" vertical="center"/>
    </xf>
    <xf numFmtId="0" fontId="153" fillId="0" borderId="0" xfId="0" applyFont="1"/>
    <xf numFmtId="0" fontId="153" fillId="0" borderId="0" xfId="46" quotePrefix="1" applyNumberFormat="1" applyFont="1" applyFill="1" applyBorder="1">
      <alignment horizontal="left" vertical="center" indent="1"/>
    </xf>
    <xf numFmtId="168" fontId="0" fillId="0" borderId="0" xfId="0" applyNumberFormat="1" applyFill="1"/>
    <xf numFmtId="183" fontId="0" fillId="0" borderId="0" xfId="4" applyNumberFormat="1" applyFont="1" applyFill="1" applyAlignment="1">
      <alignment horizontal="right" vertical="center"/>
    </xf>
    <xf numFmtId="0" fontId="6" fillId="0" borderId="0" xfId="0" quotePrefix="1" applyFont="1"/>
    <xf numFmtId="44" fontId="27" fillId="0" borderId="0" xfId="0" applyNumberFormat="1" applyFont="1" applyFill="1"/>
    <xf numFmtId="4" fontId="0" fillId="0" borderId="9" xfId="0" applyNumberFormat="1" applyBorder="1"/>
    <xf numFmtId="198" fontId="0" fillId="0" borderId="0" xfId="0" applyNumberFormat="1" applyAlignment="1">
      <alignment horizontal="center" vertical="center"/>
    </xf>
    <xf numFmtId="0" fontId="74" fillId="0" borderId="0" xfId="0" applyFont="1" applyAlignment="1">
      <alignment horizontal="left" wrapText="1"/>
    </xf>
    <xf numFmtId="4" fontId="74" fillId="0" borderId="0" xfId="0" applyNumberFormat="1" applyFont="1" applyBorder="1" applyAlignment="1">
      <alignment horizontal="right" vertical="center"/>
    </xf>
    <xf numFmtId="0" fontId="74" fillId="0" borderId="0" xfId="0" applyFont="1" applyBorder="1" applyAlignment="1">
      <alignment horizontal="left" wrapText="1"/>
    </xf>
    <xf numFmtId="168" fontId="74" fillId="0" borderId="21" xfId="0" applyNumberFormat="1" applyFont="1" applyBorder="1" applyAlignment="1">
      <alignment horizontal="right" vertical="center"/>
    </xf>
    <xf numFmtId="168" fontId="74" fillId="0" borderId="23" xfId="0" applyNumberFormat="1" applyFont="1" applyBorder="1" applyAlignment="1">
      <alignment horizontal="right" vertical="center"/>
    </xf>
    <xf numFmtId="0" fontId="77" fillId="25" borderId="30" xfId="0" applyFont="1" applyFill="1" applyBorder="1" applyAlignment="1">
      <alignment horizontal="center"/>
    </xf>
    <xf numFmtId="0" fontId="77" fillId="25" borderId="31" xfId="0" applyFont="1" applyFill="1" applyBorder="1" applyAlignment="1">
      <alignment horizontal="center"/>
    </xf>
    <xf numFmtId="0" fontId="77" fillId="25" borderId="32" xfId="0" applyFont="1" applyFill="1" applyBorder="1" applyAlignment="1">
      <alignment horizontal="center"/>
    </xf>
    <xf numFmtId="0" fontId="74" fillId="0" borderId="18" xfId="0" applyFont="1" applyBorder="1" applyAlignment="1">
      <alignment horizontal="left" wrapText="1"/>
    </xf>
    <xf numFmtId="0" fontId="74" fillId="0" borderId="5" xfId="0" applyFont="1" applyBorder="1" applyAlignment="1">
      <alignment horizontal="left" wrapText="1"/>
    </xf>
    <xf numFmtId="0" fontId="74" fillId="0" borderId="19" xfId="0" applyFont="1" applyBorder="1" applyAlignment="1">
      <alignment horizontal="left" wrapText="1"/>
    </xf>
    <xf numFmtId="0" fontId="74" fillId="0" borderId="6" xfId="0" applyFont="1" applyBorder="1" applyAlignment="1">
      <alignment horizontal="left" wrapText="1"/>
    </xf>
    <xf numFmtId="0" fontId="74" fillId="0" borderId="55" xfId="0" applyFont="1" applyBorder="1" applyAlignment="1">
      <alignment horizontal="left" vertical="center" wrapText="1"/>
    </xf>
    <xf numFmtId="0" fontId="74" fillId="0" borderId="56" xfId="0" applyFont="1" applyBorder="1" applyAlignment="1">
      <alignment horizontal="left" vertical="center" wrapText="1"/>
    </xf>
    <xf numFmtId="0" fontId="74" fillId="0" borderId="57" xfId="0" applyFont="1" applyBorder="1" applyAlignment="1">
      <alignment horizontal="left" vertical="center" wrapText="1"/>
    </xf>
    <xf numFmtId="0" fontId="74" fillId="0" borderId="18" xfId="0" applyFont="1" applyBorder="1" applyAlignment="1">
      <alignment horizontal="left" vertical="center" wrapText="1"/>
    </xf>
    <xf numFmtId="0" fontId="74" fillId="0" borderId="22" xfId="0" applyFont="1" applyBorder="1" applyAlignment="1">
      <alignment horizontal="left"/>
    </xf>
    <xf numFmtId="0" fontId="74" fillId="0" borderId="6" xfId="0" applyFont="1" applyBorder="1" applyAlignment="1">
      <alignment horizontal="left"/>
    </xf>
    <xf numFmtId="0" fontId="74" fillId="0" borderId="19" xfId="0" applyFont="1" applyBorder="1" applyAlignment="1">
      <alignment horizontal="left"/>
    </xf>
    <xf numFmtId="0" fontId="74" fillId="0" borderId="33" xfId="0" applyFont="1" applyBorder="1" applyAlignment="1">
      <alignment horizontal="left"/>
    </xf>
    <xf numFmtId="0" fontId="74" fillId="0" borderId="26" xfId="0" applyFont="1" applyBorder="1" applyAlignment="1">
      <alignment horizontal="left"/>
    </xf>
    <xf numFmtId="0" fontId="77" fillId="25" borderId="27" xfId="0" applyFont="1" applyFill="1" applyBorder="1" applyAlignment="1">
      <alignment horizontal="center"/>
    </xf>
    <xf numFmtId="0" fontId="77" fillId="25" borderId="28" xfId="0" applyFont="1" applyFill="1" applyBorder="1" applyAlignment="1">
      <alignment horizontal="center"/>
    </xf>
    <xf numFmtId="0" fontId="74" fillId="0" borderId="24" xfId="0" applyFont="1" applyBorder="1" applyAlignment="1">
      <alignment horizontal="left"/>
    </xf>
    <xf numFmtId="0" fontId="74" fillId="0" borderId="0" xfId="0" applyFont="1" applyAlignment="1">
      <alignment horizontal="left"/>
    </xf>
    <xf numFmtId="0" fontId="74" fillId="0" borderId="20" xfId="0" applyFont="1" applyBorder="1" applyAlignment="1">
      <alignment horizontal="left"/>
    </xf>
    <xf numFmtId="0" fontId="74" fillId="0" borderId="5" xfId="0" applyFont="1" applyBorder="1" applyAlignment="1">
      <alignment horizontal="left"/>
    </xf>
    <xf numFmtId="0" fontId="74" fillId="0" borderId="0" xfId="0" applyFont="1" applyAlignment="1">
      <alignment horizontal="left" vertical="center" wrapText="1"/>
    </xf>
    <xf numFmtId="0" fontId="149" fillId="0" borderId="0" xfId="0" applyFont="1" applyAlignment="1">
      <alignment horizontal="center" vertical="center" wrapText="1"/>
    </xf>
    <xf numFmtId="0" fontId="33" fillId="24" borderId="16" xfId="0" applyFont="1" applyFill="1" applyBorder="1" applyAlignment="1">
      <alignment horizontal="right" vertical="center"/>
    </xf>
    <xf numFmtId="0" fontId="33" fillId="24" borderId="15" xfId="0" applyFont="1" applyFill="1" applyBorder="1" applyAlignment="1">
      <alignment horizontal="right" vertical="center"/>
    </xf>
    <xf numFmtId="14" fontId="33" fillId="24" borderId="16" xfId="0" applyNumberFormat="1" applyFont="1" applyFill="1" applyBorder="1" applyAlignment="1">
      <alignment horizontal="right" vertical="center"/>
    </xf>
    <xf numFmtId="14" fontId="33" fillId="24" borderId="15" xfId="0" applyNumberFormat="1" applyFont="1" applyFill="1" applyBorder="1" applyAlignment="1">
      <alignment horizontal="right" vertical="center"/>
    </xf>
    <xf numFmtId="0" fontId="33" fillId="26" borderId="16" xfId="0" applyFont="1" applyFill="1" applyBorder="1" applyAlignment="1">
      <alignment horizontal="right" vertical="center"/>
    </xf>
    <xf numFmtId="0" fontId="33" fillId="26" borderId="15" xfId="0" applyFont="1" applyFill="1" applyBorder="1" applyAlignment="1">
      <alignment horizontal="right" vertical="center"/>
    </xf>
    <xf numFmtId="14" fontId="33" fillId="26" borderId="16" xfId="0" applyNumberFormat="1" applyFont="1" applyFill="1" applyBorder="1" applyAlignment="1">
      <alignment horizontal="right" vertical="center"/>
    </xf>
    <xf numFmtId="14" fontId="33" fillId="26" borderId="15" xfId="0" applyNumberFormat="1" applyFont="1" applyFill="1" applyBorder="1" applyAlignment="1">
      <alignment horizontal="right" vertical="center"/>
    </xf>
    <xf numFmtId="0" fontId="36" fillId="26" borderId="34" xfId="0" applyFont="1" applyFill="1" applyBorder="1" applyAlignment="1">
      <alignment horizontal="left" vertical="top" wrapText="1"/>
    </xf>
    <xf numFmtId="0" fontId="36" fillId="26" borderId="37" xfId="0" applyFont="1" applyFill="1" applyBorder="1" applyAlignment="1">
      <alignment horizontal="left" vertical="top" wrapText="1"/>
    </xf>
    <xf numFmtId="0" fontId="36" fillId="26" borderId="38" xfId="0" applyFont="1" applyFill="1" applyBorder="1" applyAlignment="1">
      <alignment horizontal="left" vertical="center" wrapText="1"/>
    </xf>
    <xf numFmtId="0" fontId="27" fillId="0" borderId="0" xfId="0" applyNumberFormat="1" applyFont="1" applyFill="1" applyAlignment="1">
      <alignment horizontal="left" vertical="center" wrapText="1"/>
    </xf>
    <xf numFmtId="0" fontId="64" fillId="27" borderId="16" xfId="0" applyFont="1" applyFill="1" applyBorder="1" applyAlignment="1">
      <alignment horizontal="left" vertical="center" wrapText="1"/>
    </xf>
    <xf numFmtId="0" fontId="64" fillId="27" borderId="40" xfId="0" applyFont="1" applyFill="1" applyBorder="1" applyAlignment="1">
      <alignment horizontal="left" vertical="center" wrapText="1"/>
    </xf>
    <xf numFmtId="0" fontId="6" fillId="26" borderId="12" xfId="0" applyFont="1" applyFill="1" applyBorder="1" applyAlignment="1">
      <alignment horizontal="left" vertical="center"/>
    </xf>
    <xf numFmtId="0" fontId="6" fillId="24" borderId="12" xfId="0" applyFont="1" applyFill="1" applyBorder="1" applyAlignment="1">
      <alignment horizontal="left" vertical="center"/>
    </xf>
    <xf numFmtId="0" fontId="27" fillId="26" borderId="13" xfId="0" applyFont="1" applyFill="1" applyBorder="1" applyAlignment="1">
      <alignment horizontal="left" indent="1"/>
    </xf>
    <xf numFmtId="0" fontId="6" fillId="24" borderId="12" xfId="0" applyFont="1" applyFill="1" applyBorder="1" applyAlignment="1">
      <alignment horizontal="left" vertical="center" indent="1"/>
    </xf>
    <xf numFmtId="0" fontId="75" fillId="25" borderId="17" xfId="0" applyFont="1" applyFill="1" applyBorder="1" applyAlignment="1">
      <alignment horizontal="left"/>
    </xf>
    <xf numFmtId="0" fontId="61" fillId="26" borderId="12"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39" fillId="0" borderId="0" xfId="0" applyFont="1" applyFill="1" applyAlignment="1">
      <alignment horizontal="left"/>
    </xf>
    <xf numFmtId="0" fontId="75" fillId="25" borderId="45" xfId="0" applyFont="1" applyFill="1" applyBorder="1" applyAlignment="1">
      <alignment horizontal="center" vertical="center"/>
    </xf>
    <xf numFmtId="0" fontId="75" fillId="25" borderId="34" xfId="0" applyFont="1" applyFill="1" applyBorder="1" applyAlignment="1">
      <alignment horizontal="center" vertical="center"/>
    </xf>
    <xf numFmtId="0" fontId="75" fillId="25" borderId="35" xfId="0" applyFont="1" applyFill="1" applyBorder="1" applyAlignment="1">
      <alignment horizontal="center" vertical="center"/>
    </xf>
    <xf numFmtId="0" fontId="75" fillId="25" borderId="36" xfId="0" applyFont="1" applyFill="1" applyBorder="1" applyAlignment="1">
      <alignment horizontal="center" vertical="center"/>
    </xf>
    <xf numFmtId="0" fontId="75" fillId="25" borderId="16" xfId="0" applyFont="1" applyFill="1" applyBorder="1" applyAlignment="1">
      <alignment horizontal="center" vertical="center"/>
    </xf>
    <xf numFmtId="0" fontId="75" fillId="25" borderId="40" xfId="0" applyFont="1" applyFill="1" applyBorder="1" applyAlignment="1">
      <alignment horizontal="center" vertical="center"/>
    </xf>
    <xf numFmtId="0" fontId="75" fillId="25" borderId="15" xfId="0" applyFont="1" applyFill="1" applyBorder="1" applyAlignment="1">
      <alignment horizontal="center" vertical="center"/>
    </xf>
    <xf numFmtId="0" fontId="75" fillId="25" borderId="12" xfId="0" applyFont="1" applyFill="1" applyBorder="1" applyAlignment="1">
      <alignment horizontal="center" vertical="center"/>
    </xf>
    <xf numFmtId="4" fontId="6" fillId="23" borderId="0" xfId="11" applyNumberFormat="1" applyFont="1" applyFill="1" applyBorder="1" applyAlignment="1">
      <alignment horizontal="right" vertical="center"/>
    </xf>
    <xf numFmtId="180" fontId="24" fillId="24" borderId="0" xfId="0" applyNumberFormat="1" applyFont="1" applyFill="1" applyBorder="1" applyAlignment="1">
      <alignment horizontal="right"/>
    </xf>
    <xf numFmtId="173" fontId="24" fillId="23" borderId="0" xfId="11" applyNumberFormat="1" applyFont="1" applyFill="1" applyBorder="1" applyAlignment="1">
      <alignment horizontal="right"/>
    </xf>
    <xf numFmtId="14" fontId="6" fillId="23" borderId="0" xfId="0" applyNumberFormat="1" applyFont="1" applyFill="1" applyBorder="1" applyAlignment="1">
      <alignment horizontal="right"/>
    </xf>
    <xf numFmtId="14" fontId="40" fillId="0" borderId="0" xfId="0" applyNumberFormat="1" applyFont="1" applyFill="1" applyBorder="1" applyAlignment="1">
      <alignment horizontal="right" vertical="center"/>
    </xf>
    <xf numFmtId="180" fontId="40" fillId="0" borderId="0"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0" fontId="44"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wrapText="1" indent="1"/>
    </xf>
    <xf numFmtId="0" fontId="50" fillId="0" borderId="0" xfId="0" applyFont="1" applyFill="1" applyBorder="1" applyAlignment="1">
      <alignment horizontal="left" wrapText="1" indent="1"/>
    </xf>
    <xf numFmtId="180" fontId="40" fillId="0" borderId="0" xfId="0" applyNumberFormat="1" applyFont="1" applyFill="1" applyBorder="1" applyAlignment="1">
      <alignment horizontal="right"/>
    </xf>
    <xf numFmtId="0" fontId="16" fillId="0" borderId="0" xfId="0" applyFont="1" applyFill="1" applyBorder="1" applyAlignment="1">
      <alignment horizontal="left" vertical="top" wrapText="1" indent="1"/>
    </xf>
    <xf numFmtId="0" fontId="46" fillId="0" borderId="0" xfId="0" applyFont="1" applyFill="1" applyBorder="1" applyAlignment="1">
      <alignment horizontal="left" vertical="top" wrapText="1" indent="1"/>
    </xf>
    <xf numFmtId="190" fontId="83" fillId="24" borderId="0" xfId="0" applyNumberFormat="1" applyFont="1" applyFill="1" applyAlignment="1">
      <alignment horizontal="left" vertical="top" wrapText="1"/>
    </xf>
    <xf numFmtId="0" fontId="6" fillId="0" borderId="0" xfId="0" applyFont="1" applyFill="1" applyBorder="1" applyAlignment="1">
      <alignment horizontal="center" vertical="center" wrapText="1"/>
    </xf>
    <xf numFmtId="0" fontId="75" fillId="25" borderId="0" xfId="0" applyFont="1" applyFill="1" applyBorder="1" applyAlignment="1">
      <alignment horizontal="center" vertical="center"/>
    </xf>
    <xf numFmtId="1" fontId="75" fillId="25" borderId="45" xfId="0" applyNumberFormat="1" applyFont="1" applyFill="1" applyBorder="1" applyAlignment="1">
      <alignment horizontal="center" vertical="center"/>
    </xf>
    <xf numFmtId="1" fontId="75" fillId="25" borderId="12" xfId="0" applyNumberFormat="1" applyFont="1" applyFill="1" applyBorder="1" applyAlignment="1">
      <alignment horizontal="center" vertical="center"/>
    </xf>
    <xf numFmtId="0" fontId="75" fillId="62" borderId="16" xfId="0" applyFont="1" applyFill="1" applyBorder="1" applyAlignment="1">
      <alignment horizontal="center" vertical="center"/>
    </xf>
    <xf numFmtId="0" fontId="75" fillId="62" borderId="40" xfId="0" applyFont="1" applyFill="1" applyBorder="1" applyAlignment="1">
      <alignment horizontal="center" vertical="center"/>
    </xf>
    <xf numFmtId="0" fontId="75" fillId="62" borderId="15" xfId="0" applyFont="1" applyFill="1" applyBorder="1" applyAlignment="1">
      <alignment horizontal="center" vertical="center"/>
    </xf>
    <xf numFmtId="0" fontId="75" fillId="62" borderId="37" xfId="0" applyFont="1" applyFill="1" applyBorder="1" applyAlignment="1">
      <alignment horizontal="center" vertical="center"/>
    </xf>
    <xf numFmtId="0" fontId="75" fillId="62" borderId="0" xfId="0" applyFont="1" applyFill="1" applyBorder="1" applyAlignment="1">
      <alignment horizontal="center" vertical="center"/>
    </xf>
    <xf numFmtId="0" fontId="75" fillId="25" borderId="41" xfId="0" applyFont="1" applyFill="1" applyBorder="1" applyAlignment="1">
      <alignment horizontal="left" vertical="center" wrapText="1"/>
    </xf>
    <xf numFmtId="0" fontId="75" fillId="25" borderId="42" xfId="0" applyFont="1" applyFill="1" applyBorder="1" applyAlignment="1">
      <alignment horizontal="left" vertical="center" wrapText="1"/>
    </xf>
    <xf numFmtId="0" fontId="75" fillId="25" borderId="43" xfId="0" applyFont="1" applyFill="1" applyBorder="1" applyAlignment="1">
      <alignment horizontal="left" vertical="center" wrapText="1"/>
    </xf>
    <xf numFmtId="0" fontId="75" fillId="25" borderId="44" xfId="0" applyFont="1" applyFill="1" applyBorder="1" applyAlignment="1">
      <alignment horizontal="left" vertical="center" wrapText="1"/>
    </xf>
    <xf numFmtId="0" fontId="75" fillId="27" borderId="39" xfId="0" applyFont="1" applyFill="1" applyBorder="1" applyAlignment="1">
      <alignment horizontal="center" vertical="center" wrapText="1"/>
    </xf>
    <xf numFmtId="0" fontId="75" fillId="27" borderId="17" xfId="0" applyFont="1" applyFill="1" applyBorder="1" applyAlignment="1">
      <alignment horizontal="center" vertical="center" wrapText="1"/>
    </xf>
    <xf numFmtId="0" fontId="75" fillId="25" borderId="39" xfId="0" applyFont="1" applyFill="1" applyBorder="1" applyAlignment="1">
      <alignment horizontal="center" vertical="center"/>
    </xf>
    <xf numFmtId="0" fontId="75" fillId="25" borderId="17" xfId="0" applyFont="1" applyFill="1" applyBorder="1" applyAlignment="1">
      <alignment horizontal="center" vertical="center"/>
    </xf>
    <xf numFmtId="0" fontId="75" fillId="62" borderId="12" xfId="0" applyFont="1" applyFill="1" applyBorder="1" applyAlignment="1">
      <alignment horizontal="center" vertical="center"/>
    </xf>
    <xf numFmtId="1" fontId="75" fillId="62" borderId="12" xfId="0" applyNumberFormat="1" applyFont="1" applyFill="1" applyBorder="1" applyAlignment="1">
      <alignment horizontal="center" vertical="center"/>
    </xf>
    <xf numFmtId="0" fontId="75" fillId="62" borderId="34" xfId="0" applyFont="1" applyFill="1" applyBorder="1" applyAlignment="1">
      <alignment horizontal="center" vertical="center"/>
    </xf>
    <xf numFmtId="0" fontId="75" fillId="62" borderId="36" xfId="0" applyFont="1" applyFill="1" applyBorder="1" applyAlignment="1">
      <alignment horizontal="center" vertical="center"/>
    </xf>
    <xf numFmtId="0" fontId="75" fillId="62" borderId="45" xfId="0" applyFont="1" applyFill="1" applyBorder="1" applyAlignment="1">
      <alignment horizontal="center" vertical="center"/>
    </xf>
    <xf numFmtId="1" fontId="75" fillId="62" borderId="45" xfId="0" applyNumberFormat="1" applyFont="1" applyFill="1" applyBorder="1" applyAlignment="1">
      <alignment horizontal="center" vertical="center"/>
    </xf>
    <xf numFmtId="191" fontId="0" fillId="26" borderId="12" xfId="0" applyNumberFormat="1" applyFill="1" applyBorder="1" applyAlignment="1">
      <alignment horizontal="right" vertical="center"/>
    </xf>
    <xf numFmtId="0" fontId="75" fillId="27" borderId="37" xfId="0" applyFont="1" applyFill="1" applyBorder="1" applyAlignment="1">
      <alignment horizontal="left" vertical="center" wrapText="1"/>
    </xf>
    <xf numFmtId="0" fontId="75" fillId="27" borderId="0" xfId="0" applyFont="1" applyFill="1" applyBorder="1" applyAlignment="1">
      <alignment horizontal="left" vertical="center" wrapText="1"/>
    </xf>
    <xf numFmtId="0" fontId="6" fillId="0" borderId="12" xfId="0" applyFont="1" applyBorder="1" applyAlignment="1">
      <alignment horizontal="left" vertical="center"/>
    </xf>
    <xf numFmtId="191" fontId="0" fillId="0" borderId="12" xfId="0" applyNumberFormat="1" applyFill="1" applyBorder="1" applyAlignment="1">
      <alignment horizontal="right" vertical="center"/>
    </xf>
    <xf numFmtId="192" fontId="6" fillId="26" borderId="12" xfId="0" applyNumberFormat="1" applyFont="1" applyFill="1" applyBorder="1" applyAlignment="1">
      <alignment horizontal="right" vertical="center"/>
    </xf>
    <xf numFmtId="192" fontId="0" fillId="26" borderId="12" xfId="0" applyNumberFormat="1" applyFill="1" applyBorder="1" applyAlignment="1">
      <alignment horizontal="right" vertical="center"/>
    </xf>
    <xf numFmtId="1" fontId="6" fillId="26" borderId="12" xfId="0" applyNumberFormat="1" applyFont="1" applyFill="1" applyBorder="1" applyAlignment="1">
      <alignment horizontal="right" vertical="center"/>
    </xf>
    <xf numFmtId="1" fontId="0" fillId="26" borderId="12" xfId="0" applyNumberFormat="1" applyFill="1" applyBorder="1" applyAlignment="1">
      <alignment horizontal="right" vertical="center"/>
    </xf>
    <xf numFmtId="1" fontId="0" fillId="0" borderId="12" xfId="0" applyNumberFormat="1" applyFill="1" applyBorder="1" applyAlignment="1">
      <alignment horizontal="right"/>
    </xf>
    <xf numFmtId="1" fontId="0" fillId="0" borderId="12" xfId="0" applyNumberFormat="1" applyFill="1" applyBorder="1" applyAlignment="1">
      <alignment vertical="center"/>
    </xf>
    <xf numFmtId="0" fontId="75" fillId="62" borderId="17" xfId="0" applyFont="1" applyFill="1" applyBorder="1" applyAlignment="1">
      <alignment horizontal="center"/>
    </xf>
    <xf numFmtId="1" fontId="6" fillId="0" borderId="12" xfId="0" applyNumberFormat="1" applyFont="1" applyFill="1" applyBorder="1" applyAlignment="1">
      <alignment horizontal="right" vertical="center"/>
    </xf>
    <xf numFmtId="1" fontId="0" fillId="0" borderId="12" xfId="0" applyNumberFormat="1" applyFill="1" applyBorder="1" applyAlignment="1">
      <alignment horizontal="right" vertical="center"/>
    </xf>
    <xf numFmtId="1" fontId="75" fillId="62" borderId="34" xfId="0" applyNumberFormat="1" applyFont="1" applyFill="1" applyBorder="1" applyAlignment="1">
      <alignment horizontal="center" vertical="center"/>
    </xf>
    <xf numFmtId="1" fontId="75" fillId="62" borderId="36" xfId="0" applyNumberFormat="1" applyFont="1" applyFill="1" applyBorder="1" applyAlignment="1">
      <alignment horizontal="center" vertical="center"/>
    </xf>
    <xf numFmtId="0" fontId="106" fillId="24" borderId="0" xfId="727" applyFont="1" applyFill="1" applyBorder="1" applyAlignment="1">
      <alignment horizontal="left" vertical="top" wrapText="1"/>
    </xf>
    <xf numFmtId="0" fontId="106" fillId="24" borderId="0" xfId="727" applyFont="1" applyFill="1" applyBorder="1" applyAlignment="1">
      <alignment horizontal="justify" vertical="top" wrapText="1"/>
    </xf>
    <xf numFmtId="0" fontId="17" fillId="102" borderId="0" xfId="727" applyFont="1" applyFill="1" applyBorder="1" applyAlignment="1">
      <alignment horizontal="center" vertical="center" wrapText="1"/>
    </xf>
  </cellXfs>
  <cellStyles count="746">
    <cellStyle name="20% - Accent1" xfId="93" builtinId="30" customBuiltin="1"/>
    <cellStyle name="20% - Accent1 2" xfId="152"/>
    <cellStyle name="20% - Accent2" xfId="97" builtinId="34" customBuiltin="1"/>
    <cellStyle name="20% - Accent2 2" xfId="156"/>
    <cellStyle name="20% - Accent3" xfId="101" builtinId="38" customBuiltin="1"/>
    <cellStyle name="20% - Accent3 2" xfId="160"/>
    <cellStyle name="20% - Accent4" xfId="105" builtinId="42" customBuiltin="1"/>
    <cellStyle name="20% - Accent4 2" xfId="164"/>
    <cellStyle name="20% - Accent5" xfId="109" builtinId="46" customBuiltin="1"/>
    <cellStyle name="20% - Accent5 2" xfId="168"/>
    <cellStyle name="20% - Accent6" xfId="113" builtinId="50" customBuiltin="1"/>
    <cellStyle name="20% - Accent6 2" xfId="172"/>
    <cellStyle name="20% - Énfasis1 2" xfId="179"/>
    <cellStyle name="20% - Énfasis1 2 2" xfId="728"/>
    <cellStyle name="20% - Énfasis1 3" xfId="194"/>
    <cellStyle name="20% - Énfasis2 2" xfId="181"/>
    <cellStyle name="20% - Énfasis2 2 2" xfId="729"/>
    <cellStyle name="20% - Énfasis2 3" xfId="196"/>
    <cellStyle name="20% - Énfasis3 2" xfId="183"/>
    <cellStyle name="20% - Énfasis3 2 2" xfId="730"/>
    <cellStyle name="20% - Énfasis3 3" xfId="198"/>
    <cellStyle name="20% - Énfasis4 2" xfId="185"/>
    <cellStyle name="20% - Énfasis4 2 2" xfId="731"/>
    <cellStyle name="20% - Énfasis4 3" xfId="200"/>
    <cellStyle name="20% - Énfasis5 2" xfId="187"/>
    <cellStyle name="20% - Énfasis5 2 2" xfId="732"/>
    <cellStyle name="20% - Énfasis5 3" xfId="202"/>
    <cellStyle name="20% - Énfasis6 2" xfId="189"/>
    <cellStyle name="20% - Énfasis6 2 2" xfId="733"/>
    <cellStyle name="20% - Énfasis6 3" xfId="204"/>
    <cellStyle name="40% - Accent1" xfId="94" builtinId="31" customBuiltin="1"/>
    <cellStyle name="40% - Accent1 2" xfId="153"/>
    <cellStyle name="40% - Accent2" xfId="98" builtinId="35" customBuiltin="1"/>
    <cellStyle name="40% - Accent2 2" xfId="157"/>
    <cellStyle name="40% - Accent3" xfId="102" builtinId="39" customBuiltin="1"/>
    <cellStyle name="40% - Accent3 2" xfId="161"/>
    <cellStyle name="40% - Accent4" xfId="106" builtinId="43" customBuiltin="1"/>
    <cellStyle name="40% - Accent4 2" xfId="165"/>
    <cellStyle name="40% - Accent5" xfId="110" builtinId="47" customBuiltin="1"/>
    <cellStyle name="40% - Accent5 2" xfId="169"/>
    <cellStyle name="40% - Accent6" xfId="114" builtinId="51" customBuiltin="1"/>
    <cellStyle name="40% - Accent6 2" xfId="173"/>
    <cellStyle name="40% - Énfasis1 2" xfId="180"/>
    <cellStyle name="40% - Énfasis1 2 2" xfId="734"/>
    <cellStyle name="40% - Énfasis1 3" xfId="195"/>
    <cellStyle name="40% - Énfasis2 2" xfId="182"/>
    <cellStyle name="40% - Énfasis2 2 2" xfId="735"/>
    <cellStyle name="40% - Énfasis2 3" xfId="197"/>
    <cellStyle name="40% - Énfasis3 2" xfId="184"/>
    <cellStyle name="40% - Énfasis3 2 2" xfId="736"/>
    <cellStyle name="40% - Énfasis3 3" xfId="199"/>
    <cellStyle name="40% - Énfasis4 2" xfId="186"/>
    <cellStyle name="40% - Énfasis4 2 2" xfId="737"/>
    <cellStyle name="40% - Énfasis4 3" xfId="201"/>
    <cellStyle name="40% - Énfasis5 2" xfId="188"/>
    <cellStyle name="40% - Énfasis5 2 2" xfId="738"/>
    <cellStyle name="40% - Énfasis5 3" xfId="203"/>
    <cellStyle name="40% - Énfasis6 2" xfId="190"/>
    <cellStyle name="40% - Énfasis6 2 2" xfId="739"/>
    <cellStyle name="40% - Énfasis6 3" xfId="205"/>
    <cellStyle name="60% - Accent1" xfId="95" builtinId="32" customBuiltin="1"/>
    <cellStyle name="60% - Accent1 2" xfId="154"/>
    <cellStyle name="60% - Accent2" xfId="99" builtinId="36" customBuiltin="1"/>
    <cellStyle name="60% - Accent2 2" xfId="158"/>
    <cellStyle name="60% - Accent3" xfId="103" builtinId="40" customBuiltin="1"/>
    <cellStyle name="60% - Accent3 2" xfId="162"/>
    <cellStyle name="60% - Accent4" xfId="107" builtinId="44" customBuiltin="1"/>
    <cellStyle name="60% - Accent4 2" xfId="166"/>
    <cellStyle name="60% - Accent5" xfId="111" builtinId="48" customBuiltin="1"/>
    <cellStyle name="60% - Accent5 2" xfId="170"/>
    <cellStyle name="60% - Accent6" xfId="115" builtinId="52" customBuiltin="1"/>
    <cellStyle name="60% - Accent6 2" xfId="174"/>
    <cellStyle name="Accent1" xfId="92" builtinId="29" customBuiltin="1"/>
    <cellStyle name="Accent1 - 20%" xfId="211"/>
    <cellStyle name="Accent1 - 40%" xfId="212"/>
    <cellStyle name="Accent1 - 60%" xfId="213"/>
    <cellStyle name="Accent1 10" xfId="551"/>
    <cellStyle name="Accent1 11" xfId="467"/>
    <cellStyle name="Accent1 12" xfId="451"/>
    <cellStyle name="Accent1 13" xfId="449"/>
    <cellStyle name="Accent1 14" xfId="629"/>
    <cellStyle name="Accent1 15" xfId="542"/>
    <cellStyle name="Accent1 16" xfId="520"/>
    <cellStyle name="Accent1 17" xfId="662"/>
    <cellStyle name="Accent1 18" xfId="668"/>
    <cellStyle name="Accent1 19" xfId="701"/>
    <cellStyle name="Accent1 2" xfId="210"/>
    <cellStyle name="Accent1 20" xfId="681"/>
    <cellStyle name="Accent1 21" xfId="697"/>
    <cellStyle name="Accent1 22" xfId="665"/>
    <cellStyle name="Accent1 23" xfId="722"/>
    <cellStyle name="Accent1 24" xfId="584"/>
    <cellStyle name="Accent1 3" xfId="151"/>
    <cellStyle name="Accent1 4" xfId="305"/>
    <cellStyle name="Accent1 5" xfId="374"/>
    <cellStyle name="Accent1 6" xfId="325"/>
    <cellStyle name="Accent1 7" xfId="362"/>
    <cellStyle name="Accent1 8" xfId="428"/>
    <cellStyle name="Accent1 9" xfId="460"/>
    <cellStyle name="Accent2" xfId="96" builtinId="33" customBuiltin="1"/>
    <cellStyle name="Accent2 - 20%" xfId="215"/>
    <cellStyle name="Accent2 - 40%" xfId="216"/>
    <cellStyle name="Accent2 - 60%" xfId="217"/>
    <cellStyle name="Accent2 10" xfId="547"/>
    <cellStyle name="Accent2 11" xfId="484"/>
    <cellStyle name="Accent2 12" xfId="530"/>
    <cellStyle name="Accent2 13" xfId="541"/>
    <cellStyle name="Accent2 14" xfId="625"/>
    <cellStyle name="Accent2 15" xfId="474"/>
    <cellStyle name="Accent2 16" xfId="478"/>
    <cellStyle name="Accent2 17" xfId="661"/>
    <cellStyle name="Accent2 18" xfId="666"/>
    <cellStyle name="Accent2 19" xfId="699"/>
    <cellStyle name="Accent2 2" xfId="214"/>
    <cellStyle name="Accent2 20" xfId="518"/>
    <cellStyle name="Accent2 21" xfId="684"/>
    <cellStyle name="Accent2 22" xfId="634"/>
    <cellStyle name="Accent2 23" xfId="721"/>
    <cellStyle name="Accent2 24" xfId="723"/>
    <cellStyle name="Accent2 3" xfId="155"/>
    <cellStyle name="Accent2 4" xfId="309"/>
    <cellStyle name="Accent2 5" xfId="372"/>
    <cellStyle name="Accent2 6" xfId="380"/>
    <cellStyle name="Accent2 7" xfId="361"/>
    <cellStyle name="Accent2 8" xfId="427"/>
    <cellStyle name="Accent2 9" xfId="464"/>
    <cellStyle name="Accent3" xfId="100" builtinId="37" customBuiltin="1"/>
    <cellStyle name="Accent3 - 20%" xfId="219"/>
    <cellStyle name="Accent3 - 40%" xfId="220"/>
    <cellStyle name="Accent3 - 60%" xfId="221"/>
    <cellStyle name="Accent3 10" xfId="543"/>
    <cellStyle name="Accent3 11" xfId="487"/>
    <cellStyle name="Accent3 12" xfId="455"/>
    <cellStyle name="Accent3 13" xfId="529"/>
    <cellStyle name="Accent3 14" xfId="621"/>
    <cellStyle name="Accent3 15" xfId="526"/>
    <cellStyle name="Accent3 16" xfId="588"/>
    <cellStyle name="Accent3 17" xfId="659"/>
    <cellStyle name="Accent3 18" xfId="671"/>
    <cellStyle name="Accent3 19" xfId="696"/>
    <cellStyle name="Accent3 2" xfId="218"/>
    <cellStyle name="Accent3 20" xfId="593"/>
    <cellStyle name="Accent3 21" xfId="678"/>
    <cellStyle name="Accent3 22" xfId="454"/>
    <cellStyle name="Accent3 23" xfId="720"/>
    <cellStyle name="Accent3 24" xfId="717"/>
    <cellStyle name="Accent3 3" xfId="159"/>
    <cellStyle name="Accent3 4" xfId="313"/>
    <cellStyle name="Accent3 5" xfId="369"/>
    <cellStyle name="Accent3 6" xfId="299"/>
    <cellStyle name="Accent3 7" xfId="294"/>
    <cellStyle name="Accent3 8" xfId="426"/>
    <cellStyle name="Accent3 9" xfId="466"/>
    <cellStyle name="Accent4" xfId="104" builtinId="41" customBuiltin="1"/>
    <cellStyle name="Accent4 - 20%" xfId="223"/>
    <cellStyle name="Accent4 - 40%" xfId="224"/>
    <cellStyle name="Accent4 - 60%" xfId="225"/>
    <cellStyle name="Accent4 10" xfId="507"/>
    <cellStyle name="Accent4 11" xfId="491"/>
    <cellStyle name="Accent4 12" xfId="544"/>
    <cellStyle name="Accent4 13" xfId="531"/>
    <cellStyle name="Accent4 14" xfId="617"/>
    <cellStyle name="Accent4 15" xfId="463"/>
    <cellStyle name="Accent4 16" xfId="535"/>
    <cellStyle name="Accent4 17" xfId="658"/>
    <cellStyle name="Accent4 18" xfId="673"/>
    <cellStyle name="Accent4 19" xfId="695"/>
    <cellStyle name="Accent4 2" xfId="222"/>
    <cellStyle name="Accent4 20" xfId="506"/>
    <cellStyle name="Accent4 21" xfId="660"/>
    <cellStyle name="Accent4 22" xfId="565"/>
    <cellStyle name="Accent4 23" xfId="719"/>
    <cellStyle name="Accent4 24" xfId="572"/>
    <cellStyle name="Accent4 3" xfId="163"/>
    <cellStyle name="Accent4 4" xfId="317"/>
    <cellStyle name="Accent4 5" xfId="367"/>
    <cellStyle name="Accent4 6" xfId="376"/>
    <cellStyle name="Accent4 7" xfId="301"/>
    <cellStyle name="Accent4 8" xfId="425"/>
    <cellStyle name="Accent4 9" xfId="469"/>
    <cellStyle name="Accent5" xfId="108" builtinId="45" customBuiltin="1"/>
    <cellStyle name="Accent5 - 20%" xfId="227"/>
    <cellStyle name="Accent5 - 40%" xfId="228"/>
    <cellStyle name="Accent5 - 60%" xfId="229"/>
    <cellStyle name="Accent5 10" xfId="497"/>
    <cellStyle name="Accent5 11" xfId="462"/>
    <cellStyle name="Accent5 12" xfId="433"/>
    <cellStyle name="Accent5 13" xfId="450"/>
    <cellStyle name="Accent5 14" xfId="613"/>
    <cellStyle name="Accent5 15" xfId="479"/>
    <cellStyle name="Accent5 16" xfId="644"/>
    <cellStyle name="Accent5 17" xfId="657"/>
    <cellStyle name="Accent5 18" xfId="670"/>
    <cellStyle name="Accent5 19" xfId="694"/>
    <cellStyle name="Accent5 2" xfId="226"/>
    <cellStyle name="Accent5 20" xfId="640"/>
    <cellStyle name="Accent5 21" xfId="550"/>
    <cellStyle name="Accent5 22" xfId="707"/>
    <cellStyle name="Accent5 23" xfId="718"/>
    <cellStyle name="Accent5 24" xfId="528"/>
    <cellStyle name="Accent5 3" xfId="167"/>
    <cellStyle name="Accent5 4" xfId="320"/>
    <cellStyle name="Accent5 5" xfId="364"/>
    <cellStyle name="Accent5 6" xfId="352"/>
    <cellStyle name="Accent5 7" xfId="311"/>
    <cellStyle name="Accent5 8" xfId="424"/>
    <cellStyle name="Accent5 9" xfId="472"/>
    <cellStyle name="Accent6" xfId="112" builtinId="49" customBuiltin="1"/>
    <cellStyle name="Accent6 - 20%" xfId="231"/>
    <cellStyle name="Accent6 - 40%" xfId="232"/>
    <cellStyle name="Accent6 - 60%" xfId="233"/>
    <cellStyle name="Accent6 10" xfId="509"/>
    <cellStyle name="Accent6 11" xfId="578"/>
    <cellStyle name="Accent6 12" xfId="436"/>
    <cellStyle name="Accent6 13" xfId="494"/>
    <cellStyle name="Accent6 14" xfId="437"/>
    <cellStyle name="Accent6 15" xfId="648"/>
    <cellStyle name="Accent6 16" xfId="519"/>
    <cellStyle name="Accent6 17" xfId="522"/>
    <cellStyle name="Accent6 18" xfId="632"/>
    <cellStyle name="Accent6 19" xfId="663"/>
    <cellStyle name="Accent6 2" xfId="230"/>
    <cellStyle name="Accent6 20" xfId="710"/>
    <cellStyle name="Accent6 21" xfId="647"/>
    <cellStyle name="Accent6 22" xfId="540"/>
    <cellStyle name="Accent6 23" xfId="664"/>
    <cellStyle name="Accent6 24" xfId="724"/>
    <cellStyle name="Accent6 3" xfId="171"/>
    <cellStyle name="Accent6 4" xfId="322"/>
    <cellStyle name="Accent6 5" xfId="295"/>
    <cellStyle name="Accent6 6" xfId="353"/>
    <cellStyle name="Accent6 7" xfId="300"/>
    <cellStyle name="Accent6 8" xfId="423"/>
    <cellStyle name="Accent6 9" xfId="476"/>
    <cellStyle name="Bad" xfId="82" builtinId="27" customBuiltin="1"/>
    <cellStyle name="Bad 2" xfId="234"/>
    <cellStyle name="Bad 3" xfId="141"/>
    <cellStyle name="Border Heavy" xfId="1"/>
    <cellStyle name="Border Thin" xfId="2"/>
    <cellStyle name="Border Thin 2" xfId="58"/>
    <cellStyle name="Calculation" xfId="86" builtinId="22" customBuiltin="1"/>
    <cellStyle name="Calculation 2" xfId="235"/>
    <cellStyle name="Calculation 2 2" xfId="355"/>
    <cellStyle name="Calculation 2 3" xfId="135"/>
    <cellStyle name="Calculation 2 4" xfId="354"/>
    <cellStyle name="Calculation 2 5" xfId="492"/>
    <cellStyle name="Calculation 2 6" xfId="521"/>
    <cellStyle name="Calculation 2 7" xfId="635"/>
    <cellStyle name="Calculation 2 8" xfId="575"/>
    <cellStyle name="Calculation 3" xfId="145"/>
    <cellStyle name="Check Cell" xfId="88" builtinId="23" customBuiltin="1"/>
    <cellStyle name="Check Cell 2" xfId="236"/>
    <cellStyle name="Check Cell 3" xfId="147"/>
    <cellStyle name="Comma" xfId="4" builtinId="3"/>
    <cellStyle name="Comma 2" xfId="207"/>
    <cellStyle name="Comma 2 2" xfId="508"/>
    <cellStyle name="Comma 3" xfId="134"/>
    <cellStyle name="Comma 4" xfId="446"/>
    <cellStyle name="Currency" xfId="55" builtinId="4"/>
    <cellStyle name="Currency 2" xfId="129"/>
    <cellStyle name="Currency 3" xfId="442"/>
    <cellStyle name="Date" xfId="3"/>
    <cellStyle name="Date 2" xfId="59"/>
    <cellStyle name="Emphasis 1" xfId="237"/>
    <cellStyle name="Emphasis 2" xfId="238"/>
    <cellStyle name="Emphasis 3" xfId="239"/>
    <cellStyle name="Euro" xfId="5"/>
    <cellStyle name="Euro 2" xfId="73"/>
    <cellStyle name="Explanatory Text" xfId="90" builtinId="53" customBuiltin="1"/>
    <cellStyle name="Explanatory Text 2" xfId="149"/>
    <cellStyle name="Good" xfId="81" builtinId="26" customBuiltin="1"/>
    <cellStyle name="Good 2" xfId="240"/>
    <cellStyle name="Good 3" xfId="140"/>
    <cellStyle name="Heading 1" xfId="77" builtinId="16" customBuiltin="1"/>
    <cellStyle name="Heading 1 2" xfId="241"/>
    <cellStyle name="Heading 1 3" xfId="136"/>
    <cellStyle name="Heading 2" xfId="78" builtinId="17" customBuiltin="1"/>
    <cellStyle name="Heading 2 2" xfId="242"/>
    <cellStyle name="Heading 2 3" xfId="137"/>
    <cellStyle name="Heading 3" xfId="79" builtinId="18" customBuiltin="1"/>
    <cellStyle name="Heading 3 2" xfId="243"/>
    <cellStyle name="Heading 3 3" xfId="138"/>
    <cellStyle name="Heading 4" xfId="80" builtinId="19" customBuiltin="1"/>
    <cellStyle name="Heading 4 2" xfId="244"/>
    <cellStyle name="Heading 4 3" xfId="139"/>
    <cellStyle name="Hyperlink" xfId="6" builtinId="8"/>
    <cellStyle name="Hyperlink 2" xfId="119"/>
    <cellStyle name="Input" xfId="84" builtinId="20" customBuiltin="1"/>
    <cellStyle name="Input 2" xfId="245"/>
    <cellStyle name="Input 2 2" xfId="351"/>
    <cellStyle name="Input 2 3" xfId="350"/>
    <cellStyle name="Input 2 4" xfId="298"/>
    <cellStyle name="Input 2 5" xfId="490"/>
    <cellStyle name="Input 2 6" xfId="435"/>
    <cellStyle name="Input 2 7" xfId="646"/>
    <cellStyle name="Input 2 8" xfId="546"/>
    <cellStyle name="Input 3" xfId="143"/>
    <cellStyle name="Komma 2" xfId="64"/>
    <cellStyle name="Komma 3" xfId="74"/>
    <cellStyle name="KPMG Heading 1" xfId="65"/>
    <cellStyle name="KPMG Heading 2" xfId="66"/>
    <cellStyle name="KPMG Heading 3" xfId="67"/>
    <cellStyle name="KPMG Heading 4" xfId="68"/>
    <cellStyle name="KPMG Normal" xfId="69"/>
    <cellStyle name="KPMG Normal Text" xfId="70"/>
    <cellStyle name="Linked Cell" xfId="87" builtinId="24" customBuiltin="1"/>
    <cellStyle name="Linked Cell 2" xfId="246"/>
    <cellStyle name="Linked Cell 3" xfId="146"/>
    <cellStyle name="Millares 2" xfId="124"/>
    <cellStyle name="Moneda 2" xfId="121"/>
    <cellStyle name="Multiple" xfId="7"/>
    <cellStyle name="Neutral" xfId="83" builtinId="28" customBuiltin="1"/>
    <cellStyle name="Neutral 2" xfId="247"/>
    <cellStyle name="Neutral 3" xfId="142"/>
    <cellStyle name="Normal" xfId="0" builtinId="0"/>
    <cellStyle name="Normal 10" xfId="118"/>
    <cellStyle name="Normal 11" xfId="432"/>
    <cellStyle name="Normal 12" xfId="125"/>
    <cellStyle name="Normal 12 2" xfId="438"/>
    <cellStyle name="Normal 13" xfId="725"/>
    <cellStyle name="Normal 14" xfId="727"/>
    <cellStyle name="Normal 2" xfId="122"/>
    <cellStyle name="Normal 2 10" xfId="123"/>
    <cellStyle name="Normal 3" xfId="175"/>
    <cellStyle name="Normal 3 2" xfId="740"/>
    <cellStyle name="Normal 4" xfId="177"/>
    <cellStyle name="Normal 4 2" xfId="741"/>
    <cellStyle name="Normal 5" xfId="126"/>
    <cellStyle name="Normal 5 2" xfId="439"/>
    <cellStyle name="Normal 6" xfId="191"/>
    <cellStyle name="Normal 6 2" xfId="742"/>
    <cellStyle name="Normal 7" xfId="192"/>
    <cellStyle name="Normal 8" xfId="208"/>
    <cellStyle name="Normal 8 2" xfId="743"/>
    <cellStyle name="Normal 9" xfId="209"/>
    <cellStyle name="Notas 2" xfId="176"/>
    <cellStyle name="Notas 2 2" xfId="744"/>
    <cellStyle name="Notas 3" xfId="178"/>
    <cellStyle name="Notas 3 2" xfId="745"/>
    <cellStyle name="Notas 4" xfId="193"/>
    <cellStyle name="Note 2" xfId="248"/>
    <cellStyle name="Note 2 2" xfId="319"/>
    <cellStyle name="Note 2 3" xfId="366"/>
    <cellStyle name="Note 2 4" xfId="332"/>
    <cellStyle name="Note 2 5" xfId="574"/>
    <cellStyle name="Note 2 6" xfId="614"/>
    <cellStyle name="Note 2 7" xfId="581"/>
    <cellStyle name="Note 2 8" xfId="609"/>
    <cellStyle name="Notiz 2" xfId="117"/>
    <cellStyle name="Output" xfId="85" builtinId="21" customBuiltin="1"/>
    <cellStyle name="Output 2" xfId="249"/>
    <cellStyle name="Output 2 2" xfId="316"/>
    <cellStyle name="Output 2 3" xfId="368"/>
    <cellStyle name="Output 2 4" xfId="488"/>
    <cellStyle name="Output 2 5" xfId="618"/>
    <cellStyle name="Output 2 6" xfId="537"/>
    <cellStyle name="Output 2 7" xfId="651"/>
    <cellStyle name="Output 3" xfId="144"/>
    <cellStyle name="Page Heading Large" xfId="8"/>
    <cellStyle name="Page Heading Small" xfId="9"/>
    <cellStyle name="Percent" xfId="11" builtinId="5"/>
    <cellStyle name="Percent 2" xfId="206"/>
    <cellStyle name="Percent 3" xfId="130"/>
    <cellStyle name="Percent 4" xfId="443"/>
    <cellStyle name="Percent 5" xfId="726"/>
    <cellStyle name="Percent Hard" xfId="10"/>
    <cellStyle name="Percent Hard 2" xfId="60"/>
    <cellStyle name="Porcentual 2" xfId="120"/>
    <cellStyle name="Prozent 2" xfId="71"/>
    <cellStyle name="SAPBEXaggData" xfId="12"/>
    <cellStyle name="SAPBEXaggData 2" xfId="250"/>
    <cellStyle name="SAPBEXaggData 3" xfId="312"/>
    <cellStyle name="SAPBEXaggData 4" xfId="371"/>
    <cellStyle name="SAPBEXaggData 5" xfId="357"/>
    <cellStyle name="SAPBEXaggData 6" xfId="576"/>
    <cellStyle name="SAPBEXaggData 7" xfId="622"/>
    <cellStyle name="SAPBEXaggData 8" xfId="591"/>
    <cellStyle name="SAPBEXaggData 9" xfId="674"/>
    <cellStyle name="SAPBEXaggDataEmph" xfId="13"/>
    <cellStyle name="SAPBEXaggDataEmph 2" xfId="251"/>
    <cellStyle name="SAPBEXaggDataEmph 3" xfId="308"/>
    <cellStyle name="SAPBEXaggDataEmph 4" xfId="373"/>
    <cellStyle name="SAPBEXaggDataEmph 5" xfId="356"/>
    <cellStyle name="SAPBEXaggDataEmph 6" xfId="500"/>
    <cellStyle name="SAPBEXaggDataEmph 7" xfId="626"/>
    <cellStyle name="SAPBEXaggDataEmph 8" xfId="580"/>
    <cellStyle name="SAPBEXaggDataEmph 9" xfId="650"/>
    <cellStyle name="SAPBEXaggItem" xfId="14"/>
    <cellStyle name="SAPBEXaggItem 2" xfId="252"/>
    <cellStyle name="SAPBEXaggItem 3" xfId="349"/>
    <cellStyle name="SAPBEXaggItem 4" xfId="384"/>
    <cellStyle name="SAPBEXaggItem 5" xfId="370"/>
    <cellStyle name="SAPBEXaggItem 6" xfId="538"/>
    <cellStyle name="SAPBEXaggItem 7" xfId="590"/>
    <cellStyle name="SAPBEXaggItem 8" xfId="552"/>
    <cellStyle name="SAPBEXaggItem 9" xfId="553"/>
    <cellStyle name="SAPBEXaggItemX" xfId="15"/>
    <cellStyle name="SAPBEXaggItemX 2" xfId="253"/>
    <cellStyle name="SAPBEXaggItemX 3" xfId="336"/>
    <cellStyle name="SAPBEXaggItemX 4" xfId="385"/>
    <cellStyle name="SAPBEXaggItemX 5" xfId="558"/>
    <cellStyle name="SAPBEXaggItemX 6" xfId="607"/>
    <cellStyle name="SAPBEXaggItemX 7" xfId="477"/>
    <cellStyle name="SAPBEXaggItemX 8" xfId="610"/>
    <cellStyle name="SAPBEXchaText" xfId="16"/>
    <cellStyle name="SAPBEXchaText 2" xfId="254"/>
    <cellStyle name="SAPBEXchaText 3" xfId="347"/>
    <cellStyle name="SAPBEXchaText 4" xfId="386"/>
    <cellStyle name="SAPBEXchaText 5" xfId="359"/>
    <cellStyle name="SAPBEXchaText 6" xfId="448"/>
    <cellStyle name="SAPBEXchaText 7" xfId="534"/>
    <cellStyle name="SAPBEXchaText 8" xfId="452"/>
    <cellStyle name="SAPBEXchaText 9" xfId="709"/>
    <cellStyle name="SAPBEXexcBad7" xfId="17"/>
    <cellStyle name="SAPBEXexcBad7 2" xfId="255"/>
    <cellStyle name="SAPBEXexcBad7 3" xfId="334"/>
    <cellStyle name="SAPBEXexcBad7 4" xfId="387"/>
    <cellStyle name="SAPBEXexcBad7 5" xfId="375"/>
    <cellStyle name="SAPBEXexcBad7 6" xfId="555"/>
    <cellStyle name="SAPBEXexcBad7 7" xfId="434"/>
    <cellStyle name="SAPBEXexcBad7 8" xfId="589"/>
    <cellStyle name="SAPBEXexcBad7 9" xfId="502"/>
    <cellStyle name="SAPBEXexcBad8" xfId="18"/>
    <cellStyle name="SAPBEXexcBad8 2" xfId="256"/>
    <cellStyle name="SAPBEXexcBad8 3" xfId="345"/>
    <cellStyle name="SAPBEXexcBad8 4" xfId="388"/>
    <cellStyle name="SAPBEXexcBad8 5" xfId="358"/>
    <cellStyle name="SAPBEXexcBad8 6" xfId="525"/>
    <cellStyle name="SAPBEXexcBad8 7" xfId="536"/>
    <cellStyle name="SAPBEXexcBad8 8" xfId="539"/>
    <cellStyle name="SAPBEXexcBad8 9" xfId="667"/>
    <cellStyle name="SAPBEXexcBad9" xfId="19"/>
    <cellStyle name="SAPBEXexcBad9 2" xfId="257"/>
    <cellStyle name="SAPBEXexcBad9 3" xfId="389"/>
    <cellStyle name="SAPBEXexcBad9 4" xfId="570"/>
    <cellStyle name="SAPBEXexcBad9 5" xfId="603"/>
    <cellStyle name="SAPBEXexcBad9 6" xfId="482"/>
    <cellStyle name="SAPBEXexcBad9 7" xfId="652"/>
    <cellStyle name="SAPBEXexcCritical4" xfId="20"/>
    <cellStyle name="SAPBEXexcCritical4 2" xfId="258"/>
    <cellStyle name="SAPBEXexcCritical4 3" xfId="343"/>
    <cellStyle name="SAPBEXexcCritical4 4" xfId="390"/>
    <cellStyle name="SAPBEXexcCritical4 5" xfId="303"/>
    <cellStyle name="SAPBEXexcCritical4 6" xfId="468"/>
    <cellStyle name="SAPBEXexcCritical4 7" xfId="456"/>
    <cellStyle name="SAPBEXexcCritical4 8" xfId="511"/>
    <cellStyle name="SAPBEXexcCritical4 9" xfId="669"/>
    <cellStyle name="SAPBEXexcCritical5" xfId="21"/>
    <cellStyle name="SAPBEXexcCritical5 2" xfId="259"/>
    <cellStyle name="SAPBEXexcCritical5 3" xfId="330"/>
    <cellStyle name="SAPBEXexcCritical5 4" xfId="391"/>
    <cellStyle name="SAPBEXexcCritical5 5" xfId="363"/>
    <cellStyle name="SAPBEXexcCritical5 6" xfId="493"/>
    <cellStyle name="SAPBEXexcCritical5 7" xfId="566"/>
    <cellStyle name="SAPBEXexcCritical5 8" xfId="527"/>
    <cellStyle name="SAPBEXexcCritical5 9" xfId="703"/>
    <cellStyle name="SAPBEXexcCritical6" xfId="22"/>
    <cellStyle name="SAPBEXexcCritical6 2" xfId="260"/>
    <cellStyle name="SAPBEXexcCritical6 3" xfId="341"/>
    <cellStyle name="SAPBEXexcCritical6 4" xfId="392"/>
    <cellStyle name="SAPBEXexcCritical6 5" xfId="360"/>
    <cellStyle name="SAPBEXexcCritical6 6" xfId="489"/>
    <cellStyle name="SAPBEXexcCritical6 7" xfId="586"/>
    <cellStyle name="SAPBEXexcCritical6 8" xfId="475"/>
    <cellStyle name="SAPBEXexcCritical6 9" xfId="505"/>
    <cellStyle name="SAPBEXexcGood1" xfId="23"/>
    <cellStyle name="SAPBEXexcGood1 2" xfId="261"/>
    <cellStyle name="SAPBEXexcGood1 3" xfId="328"/>
    <cellStyle name="SAPBEXexcGood1 4" xfId="393"/>
    <cellStyle name="SAPBEXexcGood1 5" xfId="365"/>
    <cellStyle name="SAPBEXexcGood1 6" xfId="485"/>
    <cellStyle name="SAPBEXexcGood1 7" xfId="514"/>
    <cellStyle name="SAPBEXexcGood1 8" xfId="483"/>
    <cellStyle name="SAPBEXexcGood1 9" xfId="702"/>
    <cellStyle name="SAPBEXexcGood2" xfId="24"/>
    <cellStyle name="SAPBEXexcGood2 2" xfId="262"/>
    <cellStyle name="SAPBEXexcGood2 3" xfId="339"/>
    <cellStyle name="SAPBEXexcGood2 4" xfId="394"/>
    <cellStyle name="SAPBEXexcGood2 5" xfId="302"/>
    <cellStyle name="SAPBEXexcGood2 6" xfId="473"/>
    <cellStyle name="SAPBEXexcGood2 7" xfId="569"/>
    <cellStyle name="SAPBEXexcGood2 8" xfId="532"/>
    <cellStyle name="SAPBEXexcGood2 9" xfId="549"/>
    <cellStyle name="SAPBEXexcGood3" xfId="25"/>
    <cellStyle name="SAPBEXexcGood3 2" xfId="263"/>
    <cellStyle name="SAPBEXexcGood3 3" xfId="326"/>
    <cellStyle name="SAPBEXexcGood3 4" xfId="395"/>
    <cellStyle name="SAPBEXexcGood3 5" xfId="378"/>
    <cellStyle name="SAPBEXexcGood3 6" xfId="563"/>
    <cellStyle name="SAPBEXexcGood3 7" xfId="453"/>
    <cellStyle name="SAPBEXexcGood3 8" xfId="582"/>
    <cellStyle name="SAPBEXexcGood3 9" xfId="682"/>
    <cellStyle name="SAPBEXfilterDrill" xfId="26"/>
    <cellStyle name="SAPBEXfilterDrill 2" xfId="264"/>
    <cellStyle name="SAPBEXfilterDrill 3" xfId="396"/>
    <cellStyle name="SAPBEXfilterDrill 4" xfId="579"/>
    <cellStyle name="SAPBEXfilterDrill 5" xfId="594"/>
    <cellStyle name="SAPBEXfilterDrill 6" xfId="631"/>
    <cellStyle name="SAPBEXfilterDrill 7" xfId="459"/>
    <cellStyle name="SAPBEXfilterItem" xfId="27"/>
    <cellStyle name="SAPBEXfilterItem 2" xfId="265"/>
    <cellStyle name="SAPBEXfilterItem 3" xfId="397"/>
    <cellStyle name="SAPBEXfilterItem 4" xfId="562"/>
    <cellStyle name="SAPBEXfilterItem 5" xfId="611"/>
    <cellStyle name="SAPBEXfilterItem 6" xfId="567"/>
    <cellStyle name="SAPBEXfilterItem 7" xfId="639"/>
    <cellStyle name="SAPBEXfilterText" xfId="28"/>
    <cellStyle name="SAPBEXfilterText 2" xfId="266"/>
    <cellStyle name="SAPBEXfilterText 3" xfId="398"/>
    <cellStyle name="SAPBEXfilterText 4" xfId="577"/>
    <cellStyle name="SAPBEXfilterText 5" xfId="615"/>
    <cellStyle name="SAPBEXfilterText 6" xfId="633"/>
    <cellStyle name="SAPBEXfilterText 7" xfId="641"/>
    <cellStyle name="SAPBEXformats" xfId="29"/>
    <cellStyle name="SAPBEXformats 2" xfId="267"/>
    <cellStyle name="SAPBEXformats 3" xfId="315"/>
    <cellStyle name="SAPBEXformats 4" xfId="399"/>
    <cellStyle name="SAPBEXformats 5" xfId="304"/>
    <cellStyle name="SAPBEXformats 6" xfId="561"/>
    <cellStyle name="SAPBEXformats 7" xfId="619"/>
    <cellStyle name="SAPBEXformats 8" xfId="583"/>
    <cellStyle name="SAPBEXformats 9" xfId="471"/>
    <cellStyle name="SAPBEXheaderItem" xfId="30"/>
    <cellStyle name="SAPBEXheaderItem 2" xfId="61"/>
    <cellStyle name="SAPBEXheaderItem 3" xfId="268"/>
    <cellStyle name="SAPBEXheaderItem 4" xfId="400"/>
    <cellStyle name="SAPBEXheaderItem 5" xfId="480"/>
    <cellStyle name="SAPBEXheaderItem 6" xfId="623"/>
    <cellStyle name="SAPBEXheaderItem 7" xfId="637"/>
    <cellStyle name="SAPBEXheaderItem 8" xfId="672"/>
    <cellStyle name="SAPBEXheaderText" xfId="31"/>
    <cellStyle name="SAPBEXheaderText 2" xfId="62"/>
    <cellStyle name="SAPBEXheaderText 3" xfId="269"/>
    <cellStyle name="SAPBEXheaderText 4" xfId="401"/>
    <cellStyle name="SAPBEXheaderText 5" xfId="458"/>
    <cellStyle name="SAPBEXheaderText 6" xfId="627"/>
    <cellStyle name="SAPBEXheaderText 7" xfId="560"/>
    <cellStyle name="SAPBEXheaderText 8" xfId="706"/>
    <cellStyle name="SAPBEXHLevel0" xfId="32"/>
    <cellStyle name="SAPBEXHLevel0 2" xfId="270"/>
    <cellStyle name="SAPBEXHLevel0 3" xfId="348"/>
    <cellStyle name="SAPBEXHLevel0 4" xfId="402"/>
    <cellStyle name="SAPBEXHLevel0 5" xfId="297"/>
    <cellStyle name="SAPBEXHLevel0 6" xfId="573"/>
    <cellStyle name="SAPBEXHLevel0 7" xfId="557"/>
    <cellStyle name="SAPBEXHLevel0 8" xfId="564"/>
    <cellStyle name="SAPBEXHLevel0 9" xfId="711"/>
    <cellStyle name="SAPBEXHLevel0X" xfId="33"/>
    <cellStyle name="SAPBEXHLevel0X 2" xfId="271"/>
    <cellStyle name="SAPBEXHLevel0X 3" xfId="335"/>
    <cellStyle name="SAPBEXHLevel0X 4" xfId="403"/>
    <cellStyle name="SAPBEXHLevel0X 5" xfId="486"/>
    <cellStyle name="SAPBEXHLevel0X 6" xfId="605"/>
    <cellStyle name="SAPBEXHLevel0X 7" xfId="503"/>
    <cellStyle name="SAPBEXHLevel0X 8" xfId="705"/>
    <cellStyle name="SAPBEXHLevel1" xfId="34"/>
    <cellStyle name="SAPBEXHLevel1 2" xfId="272"/>
    <cellStyle name="SAPBEXHLevel1 3" xfId="346"/>
    <cellStyle name="SAPBEXHLevel1 4" xfId="404"/>
    <cellStyle name="SAPBEXHLevel1 5" xfId="296"/>
    <cellStyle name="SAPBEXHLevel1 6" xfId="533"/>
    <cellStyle name="SAPBEXHLevel1 7" xfId="559"/>
    <cellStyle name="SAPBEXHLevel1 8" xfId="457"/>
    <cellStyle name="SAPBEXHLevel1 9" xfId="675"/>
    <cellStyle name="SAPBEXHLevel1X" xfId="35"/>
    <cellStyle name="SAPBEXHLevel1X 2" xfId="273"/>
    <cellStyle name="SAPBEXHLevel1X 3" xfId="333"/>
    <cellStyle name="SAPBEXHLevel1X 4" xfId="405"/>
    <cellStyle name="SAPBEXHLevel1X 5" xfId="499"/>
    <cellStyle name="SAPBEXHLevel1X 6" xfId="587"/>
    <cellStyle name="SAPBEXHLevel1X 7" xfId="585"/>
    <cellStyle name="SAPBEXHLevel1X 8" xfId="704"/>
    <cellStyle name="SAPBEXHLevel2" xfId="36"/>
    <cellStyle name="SAPBEXHLevel2 2" xfId="274"/>
    <cellStyle name="SAPBEXHLevel2 3" xfId="344"/>
    <cellStyle name="SAPBEXHLevel2 4" xfId="406"/>
    <cellStyle name="SAPBEXHLevel2 5" xfId="324"/>
    <cellStyle name="SAPBEXHLevel2 6" xfId="524"/>
    <cellStyle name="SAPBEXHLevel2 7" xfId="516"/>
    <cellStyle name="SAPBEXHLevel2 8" xfId="517"/>
    <cellStyle name="SAPBEXHLevel2 9" xfId="461"/>
    <cellStyle name="SAPBEXHLevel2X" xfId="37"/>
    <cellStyle name="SAPBEXHLevel2X 2" xfId="275"/>
    <cellStyle name="SAPBEXHLevel2X 3" xfId="331"/>
    <cellStyle name="SAPBEXHLevel2X 4" xfId="407"/>
    <cellStyle name="SAPBEXHLevel2X 5" xfId="523"/>
    <cellStyle name="SAPBEXHLevel2X 6" xfId="571"/>
    <cellStyle name="SAPBEXHLevel2X 7" xfId="554"/>
    <cellStyle name="SAPBEXHLevel2X 8" xfId="680"/>
    <cellStyle name="SAPBEXHLevel3" xfId="38"/>
    <cellStyle name="SAPBEXHLevel3 2" xfId="276"/>
    <cellStyle name="SAPBEXHLevel3 3" xfId="342"/>
    <cellStyle name="SAPBEXHLevel3 4" xfId="408"/>
    <cellStyle name="SAPBEXHLevel3 5" xfId="337"/>
    <cellStyle name="SAPBEXHLevel3 6" xfId="465"/>
    <cellStyle name="SAPBEXHLevel3 7" xfId="481"/>
    <cellStyle name="SAPBEXHLevel3 8" xfId="510"/>
    <cellStyle name="SAPBEXHLevel3 9" xfId="708"/>
    <cellStyle name="SAPBEXHLevel3X" xfId="39"/>
    <cellStyle name="SAPBEXHLevel3X 2" xfId="277"/>
    <cellStyle name="SAPBEXHLevel3X 3" xfId="329"/>
    <cellStyle name="SAPBEXHLevel3X 4" xfId="409"/>
    <cellStyle name="SAPBEXHLevel3X 5" xfId="504"/>
    <cellStyle name="SAPBEXHLevel3X 6" xfId="496"/>
    <cellStyle name="SAPBEXHLevel3X 7" xfId="447"/>
    <cellStyle name="SAPBEXHLevel3X 8" xfId="656"/>
    <cellStyle name="SAPBEXinputData" xfId="278"/>
    <cellStyle name="SAPBEXItemHeader" xfId="279"/>
    <cellStyle name="SAPBEXItemHeader 2" xfId="327"/>
    <cellStyle name="SAPBEXItemHeader 3" xfId="410"/>
    <cellStyle name="SAPBEXItemHeader 4" xfId="498"/>
    <cellStyle name="SAPBEXItemHeader 5" xfId="512"/>
    <cellStyle name="SAPBEXItemHeader 6" xfId="495"/>
    <cellStyle name="SAPBEXItemHeader 7" xfId="676"/>
    <cellStyle name="SAPBEXresData" xfId="40"/>
    <cellStyle name="SAPBEXresData 2" xfId="280"/>
    <cellStyle name="SAPBEXresData 3" xfId="338"/>
    <cellStyle name="SAPBEXresData 4" xfId="411"/>
    <cellStyle name="SAPBEXresData 5" xfId="470"/>
    <cellStyle name="SAPBEXresData 6" xfId="606"/>
    <cellStyle name="SAPBEXresData 7" xfId="556"/>
    <cellStyle name="SAPBEXresData 8" xfId="683"/>
    <cellStyle name="SAPBEXresDataEmph" xfId="41"/>
    <cellStyle name="SAPBEXresDataEmph 2" xfId="281"/>
    <cellStyle name="SAPBEXresDataEmph 3" xfId="412"/>
    <cellStyle name="SAPBEXresDataEmph 4" xfId="677"/>
    <cellStyle name="SAPBEXresItem" xfId="42"/>
    <cellStyle name="SAPBEXresItem 2" xfId="282"/>
    <cellStyle name="SAPBEXresItem 3" xfId="323"/>
    <cellStyle name="SAPBEXresItem 4" xfId="413"/>
    <cellStyle name="SAPBEXresItem 5" xfId="595"/>
    <cellStyle name="SAPBEXresItem 6" xfId="548"/>
    <cellStyle name="SAPBEXresItem 7" xfId="685"/>
    <cellStyle name="SAPBEXresItem 8" xfId="608"/>
    <cellStyle name="SAPBEXresItemX" xfId="43"/>
    <cellStyle name="SAPBEXresItemX 2" xfId="283"/>
    <cellStyle name="SAPBEXresItemX 3" xfId="321"/>
    <cellStyle name="SAPBEXresItemX 4" xfId="414"/>
    <cellStyle name="SAPBEXresItemX 5" xfId="596"/>
    <cellStyle name="SAPBEXresItemX 6" xfId="612"/>
    <cellStyle name="SAPBEXresItemX 7" xfId="686"/>
    <cellStyle name="SAPBEXresItemX 8" xfId="642"/>
    <cellStyle name="SAPBEXstdData" xfId="44"/>
    <cellStyle name="SAPBEXstdData 2" xfId="284"/>
    <cellStyle name="SAPBEXstdData 2 2" xfId="318"/>
    <cellStyle name="SAPBEXstdData 2 3" xfId="415"/>
    <cellStyle name="SAPBEXstdData 2 4" xfId="381"/>
    <cellStyle name="SAPBEXstdData 2 5" xfId="597"/>
    <cellStyle name="SAPBEXstdData 2 6" xfId="616"/>
    <cellStyle name="SAPBEXstdData 2 7" xfId="687"/>
    <cellStyle name="SAPBEXstdData 2 8" xfId="568"/>
    <cellStyle name="SAPBEXstdData 3" xfId="133"/>
    <cellStyle name="SAPBEXstdData 31" xfId="128"/>
    <cellStyle name="SAPBEXstdData 31 2" xfId="379"/>
    <cellStyle name="SAPBEXstdData 31 3" xfId="441"/>
    <cellStyle name="SAPBEXstdData 31 4" xfId="592"/>
    <cellStyle name="SAPBEXstdData 31 5" xfId="513"/>
    <cellStyle name="SAPBEXstdData 31 6" xfId="698"/>
    <cellStyle name="SAPBEXstdData 4" xfId="307"/>
    <cellStyle name="SAPBEXstdData 44" xfId="127"/>
    <cellStyle name="SAPBEXstdData 44 2" xfId="377"/>
    <cellStyle name="SAPBEXstdData 44 3" xfId="440"/>
    <cellStyle name="SAPBEXstdData 44 4" xfId="649"/>
    <cellStyle name="SAPBEXstdData 44 5" xfId="501"/>
    <cellStyle name="SAPBEXstdData 44 6" xfId="700"/>
    <cellStyle name="SAPBEXstdData 5" xfId="445"/>
    <cellStyle name="SAPBEXstdData 6" xfId="645"/>
    <cellStyle name="SAPBEXstdData 7" xfId="638"/>
    <cellStyle name="SAPBEXstdData 8" xfId="636"/>
    <cellStyle name="SAPBEXstdData_Down Payments" xfId="131"/>
    <cellStyle name="SAPBEXstdDataEmph" xfId="45"/>
    <cellStyle name="SAPBEXstdDataEmph 2" xfId="285"/>
    <cellStyle name="SAPBEXstdDataEmph 3" xfId="314"/>
    <cellStyle name="SAPBEXstdDataEmph 4" xfId="416"/>
    <cellStyle name="SAPBEXstdDataEmph 5" xfId="429"/>
    <cellStyle name="SAPBEXstdDataEmph 6" xfId="598"/>
    <cellStyle name="SAPBEXstdDataEmph 7" xfId="620"/>
    <cellStyle name="SAPBEXstdDataEmph 8" xfId="688"/>
    <cellStyle name="SAPBEXstdDataEmph 9" xfId="545"/>
    <cellStyle name="SAPBEXstdItem" xfId="46"/>
    <cellStyle name="SAPBEXstdItem 2" xfId="286"/>
    <cellStyle name="SAPBEXstdItem 2 2" xfId="310"/>
    <cellStyle name="SAPBEXstdItem 2 3" xfId="417"/>
    <cellStyle name="SAPBEXstdItem 2 4" xfId="430"/>
    <cellStyle name="SAPBEXstdItem 2 5" xfId="599"/>
    <cellStyle name="SAPBEXstdItem 2 6" xfId="624"/>
    <cellStyle name="SAPBEXstdItem 2 7" xfId="689"/>
    <cellStyle name="SAPBEXstdItem 2 8" xfId="515"/>
    <cellStyle name="SAPBEXstdItem 3" xfId="132"/>
    <cellStyle name="SAPBEXstdItem 4" xfId="340"/>
    <cellStyle name="SAPBEXstdItem 5" xfId="444"/>
    <cellStyle name="SAPBEXstdItem 6" xfId="643"/>
    <cellStyle name="SAPBEXstdItem 7" xfId="630"/>
    <cellStyle name="SAPBEXstdItem 8" xfId="712"/>
    <cellStyle name="SAPBEXstdItemX" xfId="47"/>
    <cellStyle name="SAPBEXstdItemX 2" xfId="287"/>
    <cellStyle name="SAPBEXstdItemX 3" xfId="306"/>
    <cellStyle name="SAPBEXstdItemX 4" xfId="418"/>
    <cellStyle name="SAPBEXstdItemX 5" xfId="600"/>
    <cellStyle name="SAPBEXstdItemX 6" xfId="628"/>
    <cellStyle name="SAPBEXstdItemX 7" xfId="690"/>
    <cellStyle name="SAPBEXstdItemX 8" xfId="713"/>
    <cellStyle name="SAPBEXtitle" xfId="48"/>
    <cellStyle name="SAPBEXtitle 2" xfId="288"/>
    <cellStyle name="SAPBEXtitle 3" xfId="419"/>
    <cellStyle name="SAPBEXtitle 4" xfId="601"/>
    <cellStyle name="SAPBEXtitle 5" xfId="653"/>
    <cellStyle name="SAPBEXtitle 6" xfId="691"/>
    <cellStyle name="SAPBEXtitle 7" xfId="714"/>
    <cellStyle name="SAPBEXunassignedItem" xfId="289"/>
    <cellStyle name="SAPBEXunassignedItem 2" xfId="420"/>
    <cellStyle name="SAPBEXunassignedItem 3" xfId="679"/>
    <cellStyle name="SAPBEXundefined" xfId="49"/>
    <cellStyle name="SAPBEXundefined 2" xfId="290"/>
    <cellStyle name="SAPBEXundefined 3" xfId="382"/>
    <cellStyle name="SAPBEXundefined 4" xfId="421"/>
    <cellStyle name="SAPBEXundefined 5" xfId="431"/>
    <cellStyle name="SAPBEXundefined 6" xfId="602"/>
    <cellStyle name="SAPBEXundefined 7" xfId="654"/>
    <cellStyle name="SAPBEXundefined 8" xfId="692"/>
    <cellStyle name="SAPBEXundefined 9" xfId="715"/>
    <cellStyle name="Shaded" xfId="50"/>
    <cellStyle name="Sheet Title" xfId="291"/>
    <cellStyle name="Standard 2" xfId="57"/>
    <cellStyle name="Standard 3" xfId="63"/>
    <cellStyle name="Standard 4" xfId="116"/>
    <cellStyle name="Standard_Driver One Accounting Monatsabschluss 31.01.2005" xfId="75"/>
    <cellStyle name="Table Col Head" xfId="51"/>
    <cellStyle name="Table Sub Head" xfId="52"/>
    <cellStyle name="Table Title" xfId="53"/>
    <cellStyle name="Table Units" xfId="54"/>
    <cellStyle name="Title" xfId="76" builtinId="15" customBuiltin="1"/>
    <cellStyle name="Total" xfId="91" builtinId="25" customBuiltin="1"/>
    <cellStyle name="Total 2" xfId="292"/>
    <cellStyle name="Total 2 2" xfId="383"/>
    <cellStyle name="Total 2 3" xfId="422"/>
    <cellStyle name="Total 2 4" xfId="604"/>
    <cellStyle name="Total 2 5" xfId="655"/>
    <cellStyle name="Total 2 6" xfId="693"/>
    <cellStyle name="Total 2 7" xfId="716"/>
    <cellStyle name="Total 3" xfId="150"/>
    <cellStyle name="Währung 2" xfId="72"/>
    <cellStyle name="Warning Text" xfId="89" builtinId="11" customBuiltin="1"/>
    <cellStyle name="Warning Text 2" xfId="293"/>
    <cellStyle name="Warning Text 3" xfId="148"/>
    <cellStyle name="Year" xfId="56"/>
  </cellStyles>
  <dxfs count="424">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numFmt numFmtId="14" formatCode="0.00%"/>
      <alignment horizontal="right" vertical="center" textRotation="0" wrapText="0" indent="0" justifyLastLine="0" shrinkToFit="0" readingOrder="0"/>
    </dxf>
    <dxf>
      <numFmt numFmtId="191" formatCode="_([$R$ -416]* #,##0.00_);_([$R$ -416]* \(#,##0.00\);_([$R$ -416]* &quot;-&quot;??_);_(@_)"/>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alignment horizontal="right" vertical="center" textRotation="0" wrapText="0" indent="0" justifyLastLine="0" shrinkToFit="0" readingOrder="0"/>
      <border diagonalUp="0" diagonalDown="0">
        <left style="thin">
          <color theme="0"/>
        </left>
        <right style="thin">
          <color theme="0"/>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alignment horizontal="right" vertical="center" textRotation="0" wrapText="0" indent="0" justifyLastLine="0" shrinkToFit="0" readingOrder="0"/>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alignment horizontal="right" vertical="center" textRotation="0" wrapText="0"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alignment horizontal="right" vertical="center" textRotation="0" wrapText="0" indent="0" justifyLastLine="0" shrinkToFit="0" readingOrder="0"/>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191" formatCode="_([$R$ -416]* #,##0.00_);_([$R$ -416]* \(#,##0.00\);_([$R$ -416]* &quot;-&quot;??_);_(@_)"/>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191" formatCode="_([$R$ -416]* #,##0.00_);_([$R$ -416]* \(#,##0.00\);_([$R$ -416]* &quot;-&quot;??_);_(@_)"/>
      <fill>
        <patternFill patternType="solid">
          <fgColor indexed="64"/>
          <bgColor rgb="FFFFFFFF"/>
        </patternFill>
      </fill>
      <border diagonalUp="0" diagonalDown="0">
        <left style="thin">
          <color theme="0"/>
        </left>
        <right/>
        <top style="thin">
          <color theme="0"/>
        </top>
        <bottom/>
        <vertical/>
        <horizontal/>
      </border>
    </dxf>
    <dxf>
      <font>
        <b/>
        <i val="0"/>
        <strike val="0"/>
        <condense val="0"/>
        <extend val="0"/>
        <outline val="0"/>
        <shadow val="0"/>
        <u val="none"/>
        <vertAlign val="baseline"/>
        <sz val="10"/>
        <color theme="0"/>
        <name val="Arial"/>
        <scheme val="none"/>
      </font>
      <numFmt numFmtId="3" formatCode="#,##0"/>
      <fill>
        <patternFill patternType="solid">
          <fgColor indexed="64"/>
          <bgColor rgb="FF80B0C8"/>
        </patternFill>
      </fill>
      <border diagonalUp="0" diagonalDown="0" outline="0">
        <left style="thin">
          <color theme="0"/>
        </left>
        <right/>
        <top style="thin">
          <color theme="0"/>
        </top>
        <bottom/>
      </border>
    </dxf>
    <dxf>
      <font>
        <b/>
        <i val="0"/>
        <strike val="0"/>
        <condense val="0"/>
        <extend val="0"/>
        <outline val="0"/>
        <shadow val="0"/>
        <u val="none"/>
        <vertAlign val="baseline"/>
        <sz val="10"/>
        <color theme="1"/>
        <name val="Arial"/>
        <scheme val="none"/>
      </font>
      <numFmt numFmtId="3" formatCode="#,##0"/>
      <fill>
        <patternFill patternType="solid">
          <fgColor indexed="64"/>
          <bgColor rgb="FFFFFFFF"/>
        </patternFill>
      </fill>
      <border diagonalUp="0" diagonalDown="0">
        <left style="thin">
          <color theme="0"/>
        </left>
        <right/>
        <top style="thin">
          <color theme="0"/>
        </top>
        <bottom/>
        <vertical/>
        <horizontal/>
      </border>
    </dxf>
    <dxf>
      <border outline="0">
        <top style="thin">
          <color theme="0"/>
        </top>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183" formatCode="_(* #,##0_);_(* \(#,##0\);_(* &quot;-&quot;??_);_(@_)"/>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numFmt numFmtId="14" formatCode="0.00%"/>
      <alignment horizontal="right" vertical="center" textRotation="0" wrapText="0" indent="0" justifyLastLine="0" shrinkToFit="0" readingOrder="0"/>
    </dxf>
    <dxf>
      <numFmt numFmtId="191" formatCode="_([$R$ -416]* #,##0.00_);_([$R$ -416]* \(#,##0.00\);_([$R$ -416]* &quot;-&quot;??_);_(@_)"/>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alignment horizontal="center" vertical="center" textRotation="0" indent="0" justifyLastLine="0" shrinkToFit="0" readingOrder="0"/>
    </dxf>
    <dxf>
      <numFmt numFmtId="168" formatCode="#,##0.00\ &quot;€&quot;;[Red]\-#,##0.00\ &quot;€&quot;"/>
      <fill>
        <patternFill patternType="solid">
          <fgColor indexed="64"/>
          <bgColor theme="0"/>
        </patternFill>
      </fill>
      <alignment horizontal="right" vertical="center" textRotation="0" wrapText="0" indent="0" justifyLastLine="0" shrinkToFit="0" readingOrder="0"/>
    </dxf>
    <dxf>
      <numFmt numFmtId="3" formatCode="#,##0"/>
      <fill>
        <patternFill patternType="solid">
          <fgColor indexed="64"/>
          <bgColor theme="0"/>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3" formatCode="#,##0"/>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3" formatCode="#,##0"/>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8" formatCode="#,##0.00\ &quot;€&quot;;[Red]\-#,##0.00\ &quot;€&quot;"/>
      <fill>
        <patternFill patternType="none">
          <fgColor indexed="64"/>
          <bgColor theme="0"/>
        </patternFill>
      </fill>
      <alignment horizontal="right" vertical="center" textRotation="0" wrapText="0" indent="0" justifyLastLine="0" shrinkToFit="0" readingOrder="0"/>
    </dxf>
    <dxf>
      <numFmt numFmtId="3" formatCode="#,##0"/>
      <fill>
        <patternFill patternType="none">
          <fgColor indexed="64"/>
          <bgColor theme="0"/>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3" formatCode="#,##0"/>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relativeIndent="0" justifyLastLine="0" shrinkToFit="0" readingOrder="0"/>
    </dxf>
    <dxf>
      <numFmt numFmtId="168" formatCode="#,##0.00\ &quot;€&quot;;[Red]\-#,##0.00\ &quot;€&quot;"/>
      <fill>
        <patternFill patternType="none">
          <fgColor indexed="64"/>
          <bgColor indexed="65"/>
        </patternFill>
      </fill>
      <alignment horizontal="right" vertical="center" textRotation="0" wrapText="0" relativeIndent="0" justifyLastLine="0" shrinkToFit="0" readingOrder="0"/>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alignment horizontal="right" vertical="center" textRotation="0" wrapText="0" indent="0" justifyLastLine="0" shrinkToFit="0" readingOrder="0"/>
    </dxf>
    <dxf>
      <numFmt numFmtId="191" formatCode="_([$R$ -416]* #,##0.00_);_([$R$ -416]* \(#,##0.00\);_([$R$ -416]* &quot;-&quot;??_);_(@_)"/>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91" formatCode="_([$R$ -416]* #,##0.00_);_([$R$ -416]* \(#,##0.00\);_([$R$ -416]* &quot;-&quot;??_);_(@_)"/>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0" formatCode="General"/>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numFmt numFmtId="3" formatCode="#,##0"/>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fill>
        <patternFill patternType="none">
          <fgColor indexed="64"/>
          <bgColor auto="1"/>
        </patternFill>
      </fill>
      <alignment horizontal="right" vertical="center" textRotation="0" wrapText="0" indent="0" justifyLastLine="0" shrinkToFit="0" readingOrder="0"/>
    </dxf>
    <dxf>
      <numFmt numFmtId="183" formatCode="_(* #,##0_);_(* \(#,##0\);_(* &quot;-&quot;??_);_(@_)"/>
      <fill>
        <patternFill patternType="none">
          <fgColor indexed="64"/>
          <bgColor auto="1"/>
        </patternFill>
      </fill>
      <alignment horizontal="right" vertical="center" textRotation="0" wrapText="0" indent="0" justifyLastLine="0" shrinkToFit="0" readingOrder="0"/>
    </dxf>
    <dxf>
      <numFmt numFmtId="191" formatCode="_([$R$ -416]* #,##0.00_);_([$R$ -416]* \(#,##0.00\);_([$R$ -416]* &quot;-&quot;??_);_(@_)"/>
      <fill>
        <patternFill patternType="none">
          <fgColor indexed="64"/>
          <bgColor auto="1"/>
        </patternFill>
      </fill>
      <alignment horizontal="right" vertical="center" textRotation="0" wrapText="0" indent="0" justifyLastLine="0" shrinkToFit="0" readingOrder="0"/>
    </dxf>
    <dxf>
      <numFmt numFmtId="183" formatCode="_(* #,##0_);_(* \(#,##0\);_(* &quot;-&quot;??_);_(@_)"/>
      <fill>
        <patternFill patternType="none">
          <fgColor indexed="64"/>
          <bgColor auto="1"/>
        </patternFill>
      </fill>
      <alignment horizontal="right" vertical="center" textRotation="0" wrapText="0" indent="0" justifyLastLine="0" shrinkToFit="0" readingOrder="0"/>
    </dxf>
    <dxf>
      <numFmt numFmtId="168" formatCode="#,##0.00\ &quot;€&quot;;[Red]\-#,##0.00\ &quot;€&quot;"/>
      <fill>
        <patternFill patternType="none">
          <fgColor indexed="64"/>
          <bgColor auto="1"/>
        </patternFill>
      </fill>
    </dxf>
    <dxf>
      <numFmt numFmtId="3" formatCode="#,##0"/>
      <fill>
        <patternFill patternType="none">
          <fgColor indexed="64"/>
          <bgColor auto="1"/>
        </patternFill>
      </fill>
    </dxf>
    <dxf>
      <numFmt numFmtId="191" formatCode="_([$R$ -416]* #,##0.00_);_([$R$ -416]* \(#,##0.00\);_([$R$ -416]* &quot;-&quot;??_);_(@_)"/>
      <fill>
        <patternFill patternType="none">
          <fgColor indexed="64"/>
          <bgColor auto="1"/>
        </patternFill>
      </fill>
    </dxf>
    <dxf>
      <numFmt numFmtId="3" formatCode="#,##0"/>
      <fill>
        <patternFill patternType="none">
          <fgColor indexed="64"/>
          <bgColor auto="1"/>
        </patternFill>
      </fill>
    </dxf>
    <dxf>
      <numFmt numFmtId="191" formatCode="_([$R$ -416]* #,##0.00_);_([$R$ -416]* \(#,##0.00\);_([$R$ -416]* &quot;-&quot;??_);_(@_)"/>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91" formatCode="_([$R$ -416]* #,##0.00_);_([$R$ -416]* \(#,##0.00\);_([$R$ -416]* &quot;-&quot;??_);_(@_)"/>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91" formatCode="_([$R$ -416]* #,##0.00_);_([$R$ -416]* \(#,##0.00\);_([$R$ -416]* &quot;-&quot;??_);_(@_)"/>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auto="1"/>
        </patternFill>
      </fill>
    </dxf>
    <dxf>
      <fill>
        <patternFill patternType="none">
          <fgColor indexed="64"/>
          <bgColor auto="1"/>
        </patternFill>
      </fill>
    </dxf>
    <dxf>
      <numFmt numFmtId="191" formatCode="_([$R$ -416]* #,##0.00_);_([$R$ -416]* \(#,##0.00\);_([$R$ -416]* &quot;-&quot;??_);_(@_)"/>
      <fill>
        <patternFill patternType="none">
          <fgColor indexed="64"/>
          <bgColor auto="1"/>
        </patternFill>
      </fill>
    </dxf>
    <dxf>
      <fill>
        <patternFill patternType="none">
          <fgColor indexed="64"/>
          <bgColor auto="1"/>
        </patternFill>
      </fill>
    </dxf>
    <dxf>
      <numFmt numFmtId="191" formatCode="_([$R$ -416]* #,##0.00_);_([$R$ -416]* \(#,##0.00\);_([$R$ -416]* &quot;-&quot;??_);_(@_)"/>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auto="1"/>
        </patternFill>
      </fill>
    </dxf>
    <dxf>
      <numFmt numFmtId="191" formatCode="_([$R$ -416]* #,##0.00_);_([$R$ -416]* \(#,##0.00\);_([$R$ -416]* &quot;-&quot;??_);_(@_)"/>
      <fill>
        <patternFill patternType="none">
          <fgColor indexed="64"/>
          <bgColor auto="1"/>
        </patternFill>
      </fill>
    </dxf>
    <dxf>
      <numFmt numFmtId="14" formatCode="0.00%"/>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Arial"/>
        <scheme val="none"/>
      </font>
      <numFmt numFmtId="191" formatCode="_([$R$ -416]* #,##0.00_);_([$R$ -416]* \(#,##0.00\);_([$R$ -416]* &quot;-&quot;??_);_(@_)"/>
      <fill>
        <patternFill patternType="none">
          <fgColor indexed="64"/>
          <bgColor auto="1"/>
        </patternFill>
      </fill>
    </dxf>
    <dxf>
      <font>
        <strike val="0"/>
        <outline val="0"/>
        <shadow val="0"/>
        <u val="none"/>
        <vertAlign val="baseline"/>
        <sz val="10"/>
        <name val="Arial"/>
        <scheme val="none"/>
      </font>
      <numFmt numFmtId="191" formatCode="_([$R$ -416]* #,##0.00_);_([$R$ -416]* \(#,##0.00\);_([$R$ -416]*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name val="Arial"/>
        <scheme val="none"/>
      </font>
      <numFmt numFmtId="166" formatCode="_(&quot;R$ &quot;* #,##0.00_);_(&quot;R$ &quot;* \(#,##0.00\);_(&quot;R$ &quot;* &quot;-&quot;??_);_(@_)"/>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alignment vertical="top" textRotation="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6" formatCode="_(&quot;R$ &quot;* #,##0.00_);_(&quot;R$ &quot;* \(#,##0.00\);_(&quot;R$ &quot;*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8"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8" formatCode="#,##0.00\ &quot;€&quot;;[Red]\-#,##0.00\ &quot;€&quot;"/>
      <fill>
        <patternFill patternType="solid">
          <fgColor indexed="64"/>
          <bgColor theme="0"/>
        </patternFill>
      </fill>
    </dxf>
    <dxf>
      <numFmt numFmtId="3" formatCode="#,##0"/>
    </dxf>
    <dxf>
      <alignment horizontal="left" vertical="bottom" textRotation="0" wrapText="0" indent="1"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numFmt numFmtId="168" formatCode="#,##0.00\ &quot;€&quot;;[Red]\-#,##0.00\ &quot;€&quot;"/>
      <fill>
        <patternFill patternType="none">
          <fgColor indexed="64"/>
          <bgColor indexed="65"/>
        </patternFill>
      </fill>
    </dxf>
    <dxf>
      <numFmt numFmtId="191" formatCode="_([$R$ -416]* #,##0.00_);_([$R$ -416]* \(#,##0.00\);_([$R$ -416]* &quot;-&quot;??_);_(@_)"/>
      <fill>
        <patternFill patternType="none">
          <fgColor indexed="64"/>
          <bgColor indexed="65"/>
        </patternFill>
      </fill>
    </dxf>
    <dxf>
      <numFmt numFmtId="168" formatCode="#,##0.00\ &quot;€&quot;;[Red]\-#,##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rgb="FF004666"/>
        </patternFill>
      </fill>
      <alignment horizontal="center" vertical="center" textRotation="0" wrapText="1" indent="0" justifyLastLine="0" shrinkToFit="0" readingOrder="0"/>
    </dxf>
    <dxf>
      <numFmt numFmtId="191" formatCode="_([$R$ -416]* #,##0.00_);_([$R$ -416]* \(#,##0.00\);_([$R$ -416]* &quot;-&quot;??_);_(@_)"/>
    </dxf>
    <dxf>
      <numFmt numFmtId="3" formatCode="#,##0"/>
    </dxf>
    <dxf>
      <border outline="0">
        <left style="thin">
          <color theme="0"/>
        </left>
        <top style="thin">
          <color theme="0"/>
        </top>
      </border>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Arial"/>
        <scheme val="none"/>
      </font>
      <numFmt numFmtId="183"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numFmt numFmtId="191" formatCode="_([$R$ -416]* #,##0.00_);_([$R$ -416]* \(#,##0.00\);_([$R$ -416]* &quot;-&quot;??_);_(@_)"/>
      <fill>
        <patternFill patternType="none">
          <fgColor indexed="64"/>
          <bgColor indexed="65"/>
        </patternFill>
      </fill>
    </dxf>
    <dxf>
      <numFmt numFmtId="3" formatCode="#,##0"/>
      <fill>
        <patternFill patternType="none">
          <fgColor indexed="64"/>
          <bgColor indexed="65"/>
        </patternFill>
      </fill>
    </dxf>
    <dxf>
      <border outline="0">
        <left style="thin">
          <color theme="0"/>
        </left>
        <top style="thin">
          <color theme="0"/>
        </top>
      </border>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91" formatCode="_([$R$ -416]* #,##0.00_);_([$R$ -416]* \(#,##0.00\);_([$R$ -416]* &quot;-&quot;??_);_(@_)"/>
    </dxf>
    <dxf>
      <font>
        <b val="0"/>
        <i val="0"/>
        <strike val="0"/>
        <condense val="0"/>
        <extend val="0"/>
        <outline val="0"/>
        <shadow val="0"/>
        <u val="none"/>
        <vertAlign val="baseline"/>
        <sz val="10"/>
        <color auto="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191" formatCode="_([$R$ -416]* #,##0.00_);_([$R$ -416]* \(#,##0.00\);_([$R$ -416]*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1" formatCode="mm/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_(* #,##0.00_);_(* \(#,##0.0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_(* #,##0.00_);_(* \(#,##0.0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81"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81" formatCode="mm/yyyy"/>
      <fill>
        <patternFill patternType="none">
          <fgColor indexed="64"/>
          <bgColor indexed="65"/>
        </patternFill>
      </fill>
      <alignment horizontal="center" vertical="center" textRotation="0" wrapText="1" indent="0" justifyLastLine="0" shrinkToFit="0" readingOrder="0"/>
    </dxf>
    <dxf>
      <fill>
        <patternFill>
          <bgColor indexed="10"/>
        </patternFill>
      </fill>
    </dxf>
    <dxf>
      <font>
        <b val="0"/>
        <i val="0"/>
        <strike val="0"/>
        <condense val="0"/>
        <extend val="0"/>
        <outline val="0"/>
        <shadow val="0"/>
        <u val="none"/>
        <vertAlign val="baseline"/>
        <sz val="10"/>
        <color auto="1"/>
        <name val="Arial"/>
        <scheme val="none"/>
      </font>
      <numFmt numFmtId="167" formatCode="#,##0.00\ &quot;€&quot;;\-#,##0.00\ &quot;€&quot;"/>
      <fill>
        <patternFill patternType="none">
          <fgColor indexed="64"/>
          <bgColor theme="0"/>
        </patternFill>
      </fill>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68" formatCode="#,##0.00\ &quot;€&quot;;[Red]\-#,##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91" formatCode="_([$R$ -416]* #,##0.00_);_([$R$ -416]* \(#,##0.00\);_([$R$ -416]*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numFmt numFmtId="199" formatCode="d/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numFmt numFmtId="199" formatCode="d/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font>
        <b val="0"/>
        <i val="0"/>
        <strike val="0"/>
        <outline val="0"/>
        <shadow val="0"/>
        <u val="none"/>
        <vertAlign val="baseline"/>
        <color auto="1"/>
        <name val="Arial"/>
        <scheme val="none"/>
      </font>
    </dxf>
    <dxf>
      <border outline="0">
        <top style="thin">
          <color theme="0"/>
        </top>
      </border>
    </dxf>
    <dxf>
      <font>
        <b val="0"/>
        <i val="0"/>
        <strike val="0"/>
        <outline val="0"/>
        <shadow val="0"/>
        <u val="none"/>
        <vertAlign val="baseline"/>
        <color auto="1"/>
        <name val="Arial"/>
        <scheme val="none"/>
      </font>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border diagonalUp="0" diagonalDown="0">
        <left/>
        <right/>
        <top/>
        <bottom/>
      </border>
    </dxf>
    <dxf>
      <font>
        <b val="0"/>
        <i val="0"/>
        <strike val="0"/>
        <outline val="0"/>
        <shadow val="0"/>
        <u val="none"/>
        <vertAlign val="baseline"/>
        <color auto="1"/>
        <name val="Arial"/>
        <scheme val="none"/>
      </font>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dxf>
    <dxf>
      <fill>
        <patternFill>
          <bgColor rgb="FF92D050"/>
        </patternFill>
      </fill>
    </dxf>
    <dxf>
      <fill>
        <patternFill>
          <bgColor rgb="FFFF0000"/>
        </patternFill>
      </fill>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BABE06"/>
        </patternFill>
      </fill>
    </dxf>
    <dxf>
      <fill>
        <patternFill patternType="solid">
          <fgColor theme="7" tint="-0.249977111117893"/>
          <bgColor rgb="FFD4D6D9"/>
        </patternFill>
      </fill>
    </dxf>
    <dxf>
      <font>
        <b/>
        <color theme="0"/>
      </font>
      <fill>
        <patternFill patternType="solid">
          <fgColor theme="7" tint="-0.249977111117893"/>
          <bgColor rgb="FFFF0000"/>
        </patternFill>
      </fill>
      <border>
        <left style="medium">
          <color theme="0"/>
        </left>
      </border>
    </dxf>
    <dxf>
      <font>
        <b/>
        <color theme="0"/>
      </font>
      <fill>
        <patternFill patternType="solid">
          <fgColor theme="7" tint="-0.249977111117893"/>
          <bgColor theme="5" tint="0.79998168889431442"/>
        </patternFill>
      </fill>
      <border>
        <right style="medium">
          <color theme="0"/>
        </right>
      </border>
    </dxf>
    <dxf>
      <font>
        <b/>
        <color theme="0"/>
      </font>
      <fill>
        <patternFill patternType="solid">
          <fgColor theme="7" tint="-0.499984740745262"/>
          <bgColor rgb="FF004666"/>
        </patternFill>
      </fill>
      <border>
        <top style="medium">
          <color theme="0"/>
        </top>
      </border>
    </dxf>
    <dxf>
      <font>
        <b/>
        <color theme="0"/>
      </font>
      <fill>
        <patternFill patternType="solid">
          <fgColor theme="1"/>
          <bgColor rgb="FF004666"/>
        </patternFill>
      </fill>
      <border>
        <bottom style="medium">
          <color theme="0"/>
        </bottom>
      </border>
    </dxf>
    <dxf>
      <font>
        <color auto="1"/>
      </font>
      <fill>
        <patternFill patternType="solid">
          <fgColor theme="7"/>
          <bgColor theme="0"/>
        </patternFill>
      </fill>
    </dxf>
  </dxfs>
  <tableStyles count="3" defaultTableStyle="TableStyleMedium9" defaultPivotStyle="PivotStyleLight16">
    <tableStyle name="TableStyleDark5 2" pivot="0" count="7">
      <tableStyleElement type="wholeTable" dxfId="423"/>
      <tableStyleElement type="headerRow" dxfId="422"/>
      <tableStyleElement type="totalRow" dxfId="421"/>
      <tableStyleElement type="firstColumn" dxfId="420"/>
      <tableStyleElement type="lastColumn" dxfId="419"/>
      <tableStyleElement type="firstRowStripe" dxfId="418"/>
      <tableStyleElement type="firstColumnStripe" dxfId="417"/>
    </tableStyle>
    <tableStyle name="TableStyleMedium16 2" pivot="0" count="7">
      <tableStyleElement type="wholeTable" dxfId="416"/>
      <tableStyleElement type="headerRow" dxfId="415"/>
      <tableStyleElement type="totalRow" dxfId="414"/>
      <tableStyleElement type="firstColumn" dxfId="413"/>
      <tableStyleElement type="lastColumn" dxfId="412"/>
      <tableStyleElement type="firstRowStripe" dxfId="411"/>
      <tableStyleElement type="firstColumnStripe" dxfId="410"/>
    </tableStyle>
    <tableStyle name="TableStyleMedium16 2 2" pivot="0" count="7">
      <tableStyleElement type="wholeTable" dxfId="409"/>
      <tableStyleElement type="headerRow" dxfId="408"/>
      <tableStyleElement type="totalRow" dxfId="407"/>
      <tableStyleElement type="firstColumn" dxfId="406"/>
      <tableStyleElement type="lastColumn" dxfId="405"/>
      <tableStyleElement type="firstRowStripe" dxfId="404"/>
      <tableStyleElement type="firstColumnStripe" dxfId="403"/>
    </tableStyle>
  </tableStyles>
  <colors>
    <mruColors>
      <color rgb="FF004666"/>
      <color rgb="FFE42B06"/>
      <color rgb="FF006384"/>
      <color rgb="FF80B0C8"/>
      <color rgb="FF8B8B8B"/>
      <color rgb="FF33CC33"/>
      <color rgb="FFFFFFCC"/>
      <color rgb="FFD4D6D9"/>
      <color rgb="FFF5F5F5"/>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3CF0-47DD-B1FE-2A217177D37E}"/>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3CF0-47DD-B1FE-2A217177D37E}"/>
            </c:ext>
          </c:extLst>
        </c:ser>
        <c:dLbls>
          <c:showLegendKey val="0"/>
          <c:showVal val="0"/>
          <c:showCatName val="0"/>
          <c:showSerName val="0"/>
          <c:showPercent val="0"/>
          <c:showBubbleSize val="0"/>
        </c:dLbls>
        <c:gapWidth val="150"/>
        <c:axId val="202881280"/>
        <c:axId val="202889472"/>
      </c:barChart>
      <c:catAx>
        <c:axId val="202881280"/>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202889472"/>
        <c:crosses val="autoZero"/>
        <c:auto val="1"/>
        <c:lblAlgn val="ctr"/>
        <c:lblOffset val="100"/>
        <c:tickLblSkip val="2"/>
        <c:tickMarkSkip val="1"/>
        <c:noMultiLvlLbl val="0"/>
      </c:catAx>
      <c:valAx>
        <c:axId val="202889472"/>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02881280"/>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DA0-4C49-85C8-110F063E1600}"/>
            </c:ext>
          </c:extLst>
        </c:ser>
        <c:dLbls>
          <c:showLegendKey val="0"/>
          <c:showVal val="0"/>
          <c:showCatName val="0"/>
          <c:showSerName val="0"/>
          <c:showPercent val="0"/>
          <c:showBubbleSize val="0"/>
        </c:dLbls>
        <c:gapWidth val="150"/>
        <c:axId val="331201920"/>
        <c:axId val="335021952"/>
      </c:barChart>
      <c:catAx>
        <c:axId val="33120192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335021952"/>
        <c:crosses val="autoZero"/>
        <c:auto val="1"/>
        <c:lblAlgn val="ctr"/>
        <c:lblOffset val="100"/>
        <c:tickLblSkip val="1"/>
        <c:tickMarkSkip val="1"/>
        <c:noMultiLvlLbl val="0"/>
      </c:catAx>
      <c:valAx>
        <c:axId val="335021952"/>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331201920"/>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0C88-4E00-B05B-3131DAE3B5F5}"/>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0C88-4E00-B05B-3131DAE3B5F5}"/>
            </c:ext>
          </c:extLst>
        </c:ser>
        <c:dLbls>
          <c:showLegendKey val="0"/>
          <c:showVal val="0"/>
          <c:showCatName val="0"/>
          <c:showSerName val="0"/>
          <c:showPercent val="0"/>
          <c:showBubbleSize val="0"/>
        </c:dLbls>
        <c:gapWidth val="150"/>
        <c:axId val="455517312"/>
        <c:axId val="455519616"/>
      </c:barChart>
      <c:catAx>
        <c:axId val="45551731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55519616"/>
        <c:crosses val="autoZero"/>
        <c:auto val="1"/>
        <c:lblAlgn val="ctr"/>
        <c:lblOffset val="100"/>
        <c:tickLblSkip val="2"/>
        <c:tickMarkSkip val="1"/>
        <c:noMultiLvlLbl val="0"/>
      </c:catAx>
      <c:valAx>
        <c:axId val="455519616"/>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55517312"/>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880-4B50-A1B1-D9C8233499B4}"/>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880-4B50-A1B1-D9C8233499B4}"/>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880-4B50-A1B1-D9C8233499B4}"/>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880-4B50-A1B1-D9C8233499B4}"/>
            </c:ext>
          </c:extLst>
        </c:ser>
        <c:dLbls>
          <c:showLegendKey val="0"/>
          <c:showVal val="0"/>
          <c:showCatName val="0"/>
          <c:showSerName val="0"/>
          <c:showPercent val="0"/>
          <c:showBubbleSize val="0"/>
        </c:dLbls>
        <c:marker val="1"/>
        <c:smooth val="0"/>
        <c:axId val="458567680"/>
        <c:axId val="458570368"/>
      </c:lineChart>
      <c:catAx>
        <c:axId val="458567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8570368"/>
        <c:crosses val="autoZero"/>
        <c:auto val="1"/>
        <c:lblAlgn val="ctr"/>
        <c:lblOffset val="100"/>
        <c:tickLblSkip val="1"/>
        <c:tickMarkSkip val="1"/>
        <c:noMultiLvlLbl val="0"/>
      </c:catAx>
      <c:valAx>
        <c:axId val="458570368"/>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58567680"/>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0949-448F-90FC-71F9F7527671}"/>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0949-448F-90FC-71F9F7527671}"/>
            </c:ext>
          </c:extLst>
        </c:ser>
        <c:dLbls>
          <c:showLegendKey val="0"/>
          <c:showVal val="0"/>
          <c:showCatName val="0"/>
          <c:showSerName val="0"/>
          <c:showPercent val="0"/>
          <c:showBubbleSize val="0"/>
        </c:dLbls>
        <c:gapWidth val="150"/>
        <c:axId val="196786048"/>
        <c:axId val="197267456"/>
      </c:barChart>
      <c:catAx>
        <c:axId val="196786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197267456"/>
        <c:crosses val="autoZero"/>
        <c:auto val="1"/>
        <c:lblAlgn val="ctr"/>
        <c:lblOffset val="100"/>
        <c:tickLblSkip val="1"/>
        <c:tickMarkSkip val="1"/>
        <c:noMultiLvlLbl val="0"/>
      </c:catAx>
      <c:valAx>
        <c:axId val="1972674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9678604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B3D-450B-AFD2-37A690615F40}"/>
            </c:ext>
          </c:extLst>
        </c:ser>
        <c:dLbls>
          <c:showLegendKey val="0"/>
          <c:showVal val="0"/>
          <c:showCatName val="0"/>
          <c:showSerName val="0"/>
          <c:showPercent val="0"/>
          <c:showBubbleSize val="0"/>
        </c:dLbls>
        <c:gapWidth val="150"/>
        <c:axId val="314115584"/>
        <c:axId val="314117504"/>
      </c:barChart>
      <c:catAx>
        <c:axId val="31411558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314117504"/>
        <c:crosses val="autoZero"/>
        <c:auto val="1"/>
        <c:lblAlgn val="ctr"/>
        <c:lblOffset val="100"/>
        <c:tickLblSkip val="1"/>
        <c:tickMarkSkip val="1"/>
        <c:noMultiLvlLbl val="0"/>
      </c:catAx>
      <c:valAx>
        <c:axId val="314117504"/>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314115584"/>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894-4B8E-8581-47A7D15620B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894-4B8E-8581-47A7D15620B4}"/>
            </c:ext>
          </c:extLst>
        </c:ser>
        <c:dLbls>
          <c:showLegendKey val="0"/>
          <c:showVal val="0"/>
          <c:showCatName val="0"/>
          <c:showSerName val="0"/>
          <c:showPercent val="0"/>
          <c:showBubbleSize val="0"/>
        </c:dLbls>
        <c:gapWidth val="150"/>
        <c:axId val="314168832"/>
        <c:axId val="314170752"/>
      </c:barChart>
      <c:catAx>
        <c:axId val="31416883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314170752"/>
        <c:crosses val="autoZero"/>
        <c:auto val="1"/>
        <c:lblAlgn val="ctr"/>
        <c:lblOffset val="100"/>
        <c:tickLblSkip val="1"/>
        <c:tickMarkSkip val="1"/>
        <c:noMultiLvlLbl val="0"/>
      </c:catAx>
      <c:valAx>
        <c:axId val="31417075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14168832"/>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F2ED-44C1-A74B-FAD668FC0783}"/>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F2ED-44C1-A74B-FAD668FC0783}"/>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F2ED-44C1-A74B-FAD668FC0783}"/>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F2ED-44C1-A74B-FAD668FC0783}"/>
            </c:ext>
          </c:extLst>
        </c:ser>
        <c:dLbls>
          <c:showLegendKey val="0"/>
          <c:showVal val="0"/>
          <c:showCatName val="0"/>
          <c:showSerName val="0"/>
          <c:showPercent val="0"/>
          <c:showBubbleSize val="0"/>
        </c:dLbls>
        <c:marker val="1"/>
        <c:smooth val="0"/>
        <c:axId val="314216448"/>
        <c:axId val="314218752"/>
      </c:lineChart>
      <c:catAx>
        <c:axId val="314216448"/>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314218752"/>
        <c:crosses val="autoZero"/>
        <c:auto val="1"/>
        <c:lblAlgn val="ctr"/>
        <c:lblOffset val="100"/>
        <c:tickLblSkip val="1"/>
        <c:tickMarkSkip val="1"/>
        <c:noMultiLvlLbl val="0"/>
      </c:catAx>
      <c:valAx>
        <c:axId val="31421875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314216448"/>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Cumulative Late Delinquency</a:t>
            </a:r>
          </a:p>
        </c:rich>
      </c:tx>
      <c:layout>
        <c:manualLayout>
          <c:xMode val="edge"/>
          <c:yMode val="edge"/>
          <c:x val="0.31870465695196631"/>
          <c:y val="1.2103230383073312E-2"/>
        </c:manualLayout>
      </c:layout>
      <c:overlay val="0"/>
    </c:title>
    <c:autoTitleDeleted val="0"/>
    <c:plotArea>
      <c:layout>
        <c:manualLayout>
          <c:layoutTarget val="inner"/>
          <c:xMode val="edge"/>
          <c:yMode val="edge"/>
          <c:x val="7.3131955484896663E-2"/>
          <c:y val="0.11928948793609209"/>
          <c:w val="0.92050874403815586"/>
          <c:h val="0.77411263447890077"/>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 for Charts'!$B$16:$BJ$16</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Charts'!$B$17:$BK$17</c:f>
              <c:numCache>
                <c:formatCode>0.00%</c:formatCode>
                <c:ptCount val="62"/>
                <c:pt idx="0">
                  <c:v>0</c:v>
                </c:pt>
                <c:pt idx="1">
                  <c:v>0</c:v>
                </c:pt>
                <c:pt idx="2">
                  <c:v>0</c:v>
                </c:pt>
                <c:pt idx="3">
                  <c:v>0</c:v>
                </c:pt>
                <c:pt idx="4">
                  <c:v>0</c:v>
                </c:pt>
                <c:pt idx="5">
                  <c:v>0</c:v>
                </c:pt>
                <c:pt idx="6">
                  <c:v>5.8364601659670052E-4</c:v>
                </c:pt>
                <c:pt idx="7">
                  <c:v>1.0876212590012174E-3</c:v>
                </c:pt>
              </c:numCache>
            </c:numRef>
          </c:val>
          <c:extLst>
            <c:ext xmlns:c16="http://schemas.microsoft.com/office/drawing/2014/chart" uri="{C3380CC4-5D6E-409C-BE32-E72D297353CC}">
              <c16:uniqueId val="{00000000-32E8-41E1-9B35-657428B31D48}"/>
            </c:ext>
          </c:extLst>
        </c:ser>
        <c:dLbls>
          <c:showLegendKey val="0"/>
          <c:showVal val="0"/>
          <c:showCatName val="0"/>
          <c:showSerName val="0"/>
          <c:showPercent val="0"/>
          <c:showBubbleSize val="0"/>
        </c:dLbls>
        <c:gapWidth val="150"/>
        <c:axId val="314360960"/>
        <c:axId val="314362496"/>
      </c:barChart>
      <c:lineChart>
        <c:grouping val="standard"/>
        <c:varyColors val="0"/>
        <c:ser>
          <c:idx val="1"/>
          <c:order val="1"/>
          <c:tx>
            <c:v>Level 1a/b</c:v>
          </c:tx>
          <c:marker>
            <c:symbol val="none"/>
          </c:marker>
          <c:cat>
            <c:multiLvlStrRef>
              <c:f>#REF!</c:f>
            </c:multiLvlStrRef>
          </c:cat>
          <c:val>
            <c:numRef>
              <c:f>'Data for Charts'!$B$18:$BK$18</c:f>
              <c:numCache>
                <c:formatCode>0.00%</c:formatCode>
                <c:ptCount val="62"/>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1.4999999999999999E-2</c:v>
                </c:pt>
                <c:pt idx="11">
                  <c:v>1.4999999999999999E-2</c:v>
                </c:pt>
                <c:pt idx="12">
                  <c:v>1.4999999999999999E-2</c:v>
                </c:pt>
                <c:pt idx="13">
                  <c:v>3.5000000000000003E-2</c:v>
                </c:pt>
                <c:pt idx="14">
                  <c:v>3.5000000000000003E-2</c:v>
                </c:pt>
                <c:pt idx="15">
                  <c:v>3.5000000000000003E-2</c:v>
                </c:pt>
                <c:pt idx="16">
                  <c:v>3.5000000000000003E-2</c:v>
                </c:pt>
                <c:pt idx="17">
                  <c:v>3.5000000000000003E-2</c:v>
                </c:pt>
                <c:pt idx="18">
                  <c:v>3.5000000000000003E-2</c:v>
                </c:pt>
                <c:pt idx="19">
                  <c:v>3.5000000000000003E-2</c:v>
                </c:pt>
                <c:pt idx="20">
                  <c:v>3.5000000000000003E-2</c:v>
                </c:pt>
                <c:pt idx="21">
                  <c:v>3.5000000000000003E-2</c:v>
                </c:pt>
                <c:pt idx="22">
                  <c:v>3.5000000000000003E-2</c:v>
                </c:pt>
                <c:pt idx="23">
                  <c:v>3.5000000000000003E-2</c:v>
                </c:pt>
                <c:pt idx="24">
                  <c:v>3.5000000000000003E-2</c:v>
                </c:pt>
                <c:pt idx="25">
                  <c:v>3.5000000000000003E-2</c:v>
                </c:pt>
                <c:pt idx="26">
                  <c:v>3.5000000000000003E-2</c:v>
                </c:pt>
                <c:pt idx="27">
                  <c:v>3.5000000000000003E-2</c:v>
                </c:pt>
                <c:pt idx="28">
                  <c:v>3.5000000000000003E-2</c:v>
                </c:pt>
                <c:pt idx="29">
                  <c:v>3.5000000000000003E-2</c:v>
                </c:pt>
                <c:pt idx="30">
                  <c:v>3.5000000000000003E-2</c:v>
                </c:pt>
                <c:pt idx="31">
                  <c:v>3.5000000000000003E-2</c:v>
                </c:pt>
                <c:pt idx="32">
                  <c:v>3.5000000000000003E-2</c:v>
                </c:pt>
                <c:pt idx="33">
                  <c:v>3.5000000000000003E-2</c:v>
                </c:pt>
              </c:numCache>
            </c:numRef>
          </c:val>
          <c:smooth val="0"/>
          <c:extLst>
            <c:ext xmlns:c16="http://schemas.microsoft.com/office/drawing/2014/chart" uri="{C3380CC4-5D6E-409C-BE32-E72D297353CC}">
              <c16:uniqueId val="{00000001-32E8-41E1-9B35-657428B31D48}"/>
            </c:ext>
          </c:extLst>
        </c:ser>
        <c:ser>
          <c:idx val="3"/>
          <c:order val="2"/>
          <c:tx>
            <c:v>Level 2</c:v>
          </c:tx>
          <c:marker>
            <c:symbol val="none"/>
          </c:marker>
          <c:cat>
            <c:multiLvlStrRef>
              <c:f>#REF!</c:f>
            </c:multiLvlStrRef>
          </c:cat>
          <c:val>
            <c:numRef>
              <c:f>'Data for Charts'!$B$19:$BK$19</c:f>
              <c:numCache>
                <c:formatCode>0.00%</c:formatCode>
                <c:ptCount val="62"/>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numCache>
            </c:numRef>
          </c:val>
          <c:smooth val="0"/>
          <c:extLst>
            <c:ext xmlns:c16="http://schemas.microsoft.com/office/drawing/2014/chart" uri="{C3380CC4-5D6E-409C-BE32-E72D297353CC}">
              <c16:uniqueId val="{00000002-32E8-41E1-9B35-657428B31D48}"/>
            </c:ext>
          </c:extLst>
        </c:ser>
        <c:dLbls>
          <c:showLegendKey val="0"/>
          <c:showVal val="0"/>
          <c:showCatName val="0"/>
          <c:showSerName val="0"/>
          <c:showPercent val="0"/>
          <c:showBubbleSize val="0"/>
        </c:dLbls>
        <c:marker val="1"/>
        <c:smooth val="0"/>
        <c:axId val="314360960"/>
        <c:axId val="314362496"/>
      </c:lineChart>
      <c:dateAx>
        <c:axId val="314360960"/>
        <c:scaling>
          <c:orientation val="minMax"/>
        </c:scaling>
        <c:delete val="0"/>
        <c:axPos val="b"/>
        <c:numFmt formatCode="[$-409]mmm\-yy;@" sourceLinked="0"/>
        <c:majorTickMark val="out"/>
        <c:minorTickMark val="none"/>
        <c:tickLblPos val="nextTo"/>
        <c:txPr>
          <a:bodyPr rot="-4020000" vert="horz"/>
          <a:lstStyle/>
          <a:p>
            <a:pPr>
              <a:defRPr sz="900" b="0"/>
            </a:pPr>
            <a:endParaRPr lang="en-US"/>
          </a:p>
        </c:txPr>
        <c:crossAx val="314362496"/>
        <c:crosses val="autoZero"/>
        <c:auto val="1"/>
        <c:lblOffset val="100"/>
        <c:baseTimeUnit val="months"/>
        <c:majorUnit val="2"/>
        <c:minorUnit val="1"/>
      </c:dateAx>
      <c:valAx>
        <c:axId val="314362496"/>
        <c:scaling>
          <c:orientation val="minMax"/>
          <c:max val="7.5000000000000011E-2"/>
        </c:scaling>
        <c:delete val="0"/>
        <c:axPos val="l"/>
        <c:majorGridlines/>
        <c:numFmt formatCode="#.000%" sourceLinked="0"/>
        <c:majorTickMark val="out"/>
        <c:minorTickMark val="none"/>
        <c:tickLblPos val="nextTo"/>
        <c:txPr>
          <a:bodyPr rot="0" vert="horz"/>
          <a:lstStyle/>
          <a:p>
            <a:pPr>
              <a:defRPr/>
            </a:pPr>
            <a:endParaRPr lang="en-US"/>
          </a:p>
        </c:txPr>
        <c:crossAx val="314360960"/>
        <c:crosses val="autoZero"/>
        <c:crossBetween val="between"/>
        <c:majorUnit val="2.5000000000000012E-2"/>
      </c:valAx>
    </c:plotArea>
    <c:legend>
      <c:legendPos val="t"/>
      <c:layout/>
      <c:overlay val="0"/>
    </c:legend>
    <c:plotVisOnly val="1"/>
    <c:dispBlanksAs val="gap"/>
    <c:showDLblsOverMax val="0"/>
  </c:chart>
  <c:printSettings>
    <c:headerFooter alignWithMargins="0"/>
    <c:pageMargins b="0.98425196899999956" l="0.78740157499999996" r="0.78740157499999996" t="0.98425196899999956" header="0.4921259845000015" footer="0.492125984500001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4667-4261-9D96-B165E8A7AAE4}"/>
            </c:ext>
          </c:extLst>
        </c:ser>
        <c:dLbls>
          <c:showLegendKey val="0"/>
          <c:showVal val="0"/>
          <c:showCatName val="0"/>
          <c:showSerName val="0"/>
          <c:showPercent val="0"/>
          <c:showBubbleSize val="0"/>
        </c:dLbls>
        <c:gapWidth val="150"/>
        <c:axId val="458507776"/>
        <c:axId val="458509696"/>
      </c:barChart>
      <c:catAx>
        <c:axId val="45850777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8509696"/>
        <c:crosses val="autoZero"/>
        <c:auto val="1"/>
        <c:lblAlgn val="ctr"/>
        <c:lblOffset val="100"/>
        <c:tickLblSkip val="1"/>
        <c:tickMarkSkip val="1"/>
        <c:noMultiLvlLbl val="0"/>
      </c:catAx>
      <c:valAx>
        <c:axId val="45850969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58507776"/>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675-4E93-AECC-6CC2C61BE166}"/>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675-4E93-AECC-6CC2C61BE166}"/>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675-4E93-AECC-6CC2C61BE166}"/>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675-4E93-AECC-6CC2C61BE166}"/>
            </c:ext>
          </c:extLst>
        </c:ser>
        <c:dLbls>
          <c:showLegendKey val="0"/>
          <c:showVal val="0"/>
          <c:showCatName val="0"/>
          <c:showSerName val="0"/>
          <c:showPercent val="0"/>
          <c:showBubbleSize val="0"/>
        </c:dLbls>
        <c:marker val="1"/>
        <c:smooth val="0"/>
        <c:axId val="458587520"/>
        <c:axId val="458594176"/>
      </c:lineChart>
      <c:catAx>
        <c:axId val="45858752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8594176"/>
        <c:crosses val="autoZero"/>
        <c:auto val="1"/>
        <c:lblAlgn val="ctr"/>
        <c:lblOffset val="100"/>
        <c:tickLblSkip val="1"/>
        <c:tickMarkSkip val="1"/>
        <c:noMultiLvlLbl val="0"/>
      </c:catAx>
      <c:valAx>
        <c:axId val="458594176"/>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58587520"/>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Amortisation Profile Senior Quota</a:t>
            </a:r>
          </a:p>
        </c:rich>
      </c:tx>
      <c:layout>
        <c:manualLayout>
          <c:xMode val="edge"/>
          <c:yMode val="edge"/>
          <c:x val="0.32807598677787886"/>
          <c:y val="1.1816640971377678E-2"/>
        </c:manualLayout>
      </c:layout>
      <c:overlay val="0"/>
    </c:title>
    <c:autoTitleDeleted val="0"/>
    <c:plotArea>
      <c:layout>
        <c:manualLayout>
          <c:layoutTarget val="inner"/>
          <c:xMode val="edge"/>
          <c:yMode val="edge"/>
          <c:x val="0.11829662107574521"/>
          <c:y val="0.18983957219251341"/>
          <c:w val="0.87224041939849706"/>
          <c:h val="0.70053475935828879"/>
        </c:manualLayout>
      </c:layout>
      <c:barChart>
        <c:barDir val="col"/>
        <c:grouping val="clustered"/>
        <c:varyColors val="0"/>
        <c:ser>
          <c:idx val="0"/>
          <c:order val="0"/>
          <c:tx>
            <c:v>Estimated Amortization</c:v>
          </c:tx>
          <c:spPr>
            <a:solidFill>
              <a:srgbClr val="004666"/>
            </a:solidFill>
            <a:ln>
              <a:solidFill>
                <a:schemeClr val="bg1">
                  <a:lumMod val="50000"/>
                </a:schemeClr>
              </a:solidFill>
            </a:ln>
          </c:spPr>
          <c:invertIfNegative val="0"/>
          <c:dPt>
            <c:idx val="0"/>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1-2380-445B-9FCB-4B0A2D039CB1}"/>
              </c:ext>
            </c:extLst>
          </c:dPt>
          <c:dPt>
            <c:idx val="1"/>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3-2380-445B-9FCB-4B0A2D039CB1}"/>
              </c:ext>
            </c:extLst>
          </c:dPt>
          <c:dPt>
            <c:idx val="2"/>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5-2380-445B-9FCB-4B0A2D039CB1}"/>
              </c:ext>
            </c:extLst>
          </c:dPt>
          <c:dPt>
            <c:idx val="3"/>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7-2380-445B-9FCB-4B0A2D039CB1}"/>
              </c:ext>
            </c:extLst>
          </c:dPt>
          <c:dPt>
            <c:idx val="4"/>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9-2380-445B-9FCB-4B0A2D039CB1}"/>
              </c:ext>
            </c:extLst>
          </c:dPt>
          <c:dPt>
            <c:idx val="5"/>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B-2380-445B-9FCB-4B0A2D039CB1}"/>
              </c:ext>
            </c:extLst>
          </c:dPt>
          <c:dPt>
            <c:idx val="6"/>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D-2380-445B-9FCB-4B0A2D039CB1}"/>
              </c:ext>
            </c:extLst>
          </c:dPt>
          <c:dPt>
            <c:idx val="7"/>
            <c:invertIfNegative val="0"/>
            <c:bubble3D val="0"/>
            <c:spPr>
              <a:solidFill>
                <a:schemeClr val="bg1"/>
              </a:solidFill>
              <a:ln>
                <a:solidFill>
                  <a:schemeClr val="bg1">
                    <a:lumMod val="50000"/>
                  </a:schemeClr>
                </a:solidFill>
              </a:ln>
            </c:spPr>
            <c:extLst>
              <c:ext xmlns:c16="http://schemas.microsoft.com/office/drawing/2014/chart" uri="{C3380CC4-5D6E-409C-BE32-E72D297353CC}">
                <c16:uniqueId val="{0000000F-2380-445B-9FCB-4B0A2D039CB1}"/>
              </c:ext>
            </c:extLst>
          </c:dPt>
          <c:dPt>
            <c:idx val="8"/>
            <c:invertIfNegative val="0"/>
            <c:bubble3D val="0"/>
            <c:extLst>
              <c:ext xmlns:c16="http://schemas.microsoft.com/office/drawing/2014/chart" uri="{C3380CC4-5D6E-409C-BE32-E72D297353CC}">
                <c16:uniqueId val="{00000011-2380-445B-9FCB-4B0A2D039CB1}"/>
              </c:ext>
            </c:extLst>
          </c:dPt>
          <c:dPt>
            <c:idx val="9"/>
            <c:invertIfNegative val="0"/>
            <c:bubble3D val="0"/>
            <c:extLst>
              <c:ext xmlns:c16="http://schemas.microsoft.com/office/drawing/2014/chart" uri="{C3380CC4-5D6E-409C-BE32-E72D297353CC}">
                <c16:uniqueId val="{00000013-2380-445B-9FCB-4B0A2D039CB1}"/>
              </c:ext>
            </c:extLst>
          </c:dPt>
          <c:dPt>
            <c:idx val="10"/>
            <c:invertIfNegative val="0"/>
            <c:bubble3D val="0"/>
            <c:extLst>
              <c:ext xmlns:c16="http://schemas.microsoft.com/office/drawing/2014/chart" uri="{C3380CC4-5D6E-409C-BE32-E72D297353CC}">
                <c16:uniqueId val="{00000015-2380-445B-9FCB-4B0A2D039CB1}"/>
              </c:ext>
            </c:extLst>
          </c:dPt>
          <c:dPt>
            <c:idx val="11"/>
            <c:invertIfNegative val="0"/>
            <c:bubble3D val="0"/>
            <c:extLst>
              <c:ext xmlns:c16="http://schemas.microsoft.com/office/drawing/2014/chart" uri="{C3380CC4-5D6E-409C-BE32-E72D297353CC}">
                <c16:uniqueId val="{00000017-2380-445B-9FCB-4B0A2D039CB1}"/>
              </c:ext>
            </c:extLst>
          </c:dPt>
          <c:dPt>
            <c:idx val="12"/>
            <c:invertIfNegative val="0"/>
            <c:bubble3D val="0"/>
            <c:extLst>
              <c:ext xmlns:c16="http://schemas.microsoft.com/office/drawing/2014/chart" uri="{C3380CC4-5D6E-409C-BE32-E72D297353CC}">
                <c16:uniqueId val="{00000019-2380-445B-9FCB-4B0A2D039CB1}"/>
              </c:ext>
            </c:extLst>
          </c:dPt>
          <c:dPt>
            <c:idx val="13"/>
            <c:invertIfNegative val="0"/>
            <c:bubble3D val="0"/>
            <c:extLst>
              <c:ext xmlns:c16="http://schemas.microsoft.com/office/drawing/2014/chart" uri="{C3380CC4-5D6E-409C-BE32-E72D297353CC}">
                <c16:uniqueId val="{0000001B-2380-445B-9FCB-4B0A2D039CB1}"/>
              </c:ext>
            </c:extLst>
          </c:dPt>
          <c:dPt>
            <c:idx val="14"/>
            <c:invertIfNegative val="0"/>
            <c:bubble3D val="0"/>
            <c:extLst>
              <c:ext xmlns:c16="http://schemas.microsoft.com/office/drawing/2014/chart" uri="{C3380CC4-5D6E-409C-BE32-E72D297353CC}">
                <c16:uniqueId val="{0000001D-2380-445B-9FCB-4B0A2D039CB1}"/>
              </c:ext>
            </c:extLst>
          </c:dPt>
          <c:dPt>
            <c:idx val="15"/>
            <c:invertIfNegative val="0"/>
            <c:bubble3D val="0"/>
            <c:extLst>
              <c:ext xmlns:c16="http://schemas.microsoft.com/office/drawing/2014/chart" uri="{C3380CC4-5D6E-409C-BE32-E72D297353CC}">
                <c16:uniqueId val="{0000001F-2380-445B-9FCB-4B0A2D039CB1}"/>
              </c:ext>
            </c:extLst>
          </c:dPt>
          <c:dPt>
            <c:idx val="16"/>
            <c:invertIfNegative val="0"/>
            <c:bubble3D val="0"/>
            <c:extLst>
              <c:ext xmlns:c16="http://schemas.microsoft.com/office/drawing/2014/chart" uri="{C3380CC4-5D6E-409C-BE32-E72D297353CC}">
                <c16:uniqueId val="{00000021-2380-445B-9FCB-4B0A2D039CB1}"/>
              </c:ext>
            </c:extLst>
          </c:dPt>
          <c:dPt>
            <c:idx val="17"/>
            <c:invertIfNegative val="0"/>
            <c:bubble3D val="0"/>
            <c:extLst>
              <c:ext xmlns:c16="http://schemas.microsoft.com/office/drawing/2014/chart" uri="{C3380CC4-5D6E-409C-BE32-E72D297353CC}">
                <c16:uniqueId val="{00000023-2380-445B-9FCB-4B0A2D039CB1}"/>
              </c:ext>
            </c:extLst>
          </c:dPt>
          <c:dPt>
            <c:idx val="18"/>
            <c:invertIfNegative val="0"/>
            <c:bubble3D val="0"/>
            <c:extLst>
              <c:ext xmlns:c16="http://schemas.microsoft.com/office/drawing/2014/chart" uri="{C3380CC4-5D6E-409C-BE32-E72D297353CC}">
                <c16:uniqueId val="{00000025-2380-445B-9FCB-4B0A2D039CB1}"/>
              </c:ext>
            </c:extLst>
          </c:dPt>
          <c:dPt>
            <c:idx val="19"/>
            <c:invertIfNegative val="0"/>
            <c:bubble3D val="0"/>
            <c:extLst>
              <c:ext xmlns:c16="http://schemas.microsoft.com/office/drawing/2014/chart" uri="{C3380CC4-5D6E-409C-BE32-E72D297353CC}">
                <c16:uniqueId val="{00000027-2380-445B-9FCB-4B0A2D039CB1}"/>
              </c:ext>
            </c:extLst>
          </c:dPt>
          <c:dPt>
            <c:idx val="20"/>
            <c:invertIfNegative val="0"/>
            <c:bubble3D val="0"/>
            <c:extLst>
              <c:ext xmlns:c16="http://schemas.microsoft.com/office/drawing/2014/chart" uri="{C3380CC4-5D6E-409C-BE32-E72D297353CC}">
                <c16:uniqueId val="{00000029-2380-445B-9FCB-4B0A2D039CB1}"/>
              </c:ext>
            </c:extLst>
          </c:dPt>
          <c:dPt>
            <c:idx val="21"/>
            <c:invertIfNegative val="0"/>
            <c:bubble3D val="0"/>
            <c:extLst>
              <c:ext xmlns:c16="http://schemas.microsoft.com/office/drawing/2014/chart" uri="{C3380CC4-5D6E-409C-BE32-E72D297353CC}">
                <c16:uniqueId val="{0000002B-2380-445B-9FCB-4B0A2D039CB1}"/>
              </c:ext>
            </c:extLst>
          </c:dPt>
          <c:dPt>
            <c:idx val="22"/>
            <c:invertIfNegative val="0"/>
            <c:bubble3D val="0"/>
            <c:extLst>
              <c:ext xmlns:c16="http://schemas.microsoft.com/office/drawing/2014/chart" uri="{C3380CC4-5D6E-409C-BE32-E72D297353CC}">
                <c16:uniqueId val="{0000002D-2380-445B-9FCB-4B0A2D039CB1}"/>
              </c:ext>
            </c:extLst>
          </c:dPt>
          <c:dPt>
            <c:idx val="23"/>
            <c:invertIfNegative val="0"/>
            <c:bubble3D val="0"/>
            <c:extLst>
              <c:ext xmlns:c16="http://schemas.microsoft.com/office/drawing/2014/chart" uri="{C3380CC4-5D6E-409C-BE32-E72D297353CC}">
                <c16:uniqueId val="{0000002F-2380-445B-9FCB-4B0A2D039CB1}"/>
              </c:ext>
            </c:extLst>
          </c:dPt>
          <c:dPt>
            <c:idx val="24"/>
            <c:invertIfNegative val="0"/>
            <c:bubble3D val="0"/>
            <c:extLst>
              <c:ext xmlns:c16="http://schemas.microsoft.com/office/drawing/2014/chart" uri="{C3380CC4-5D6E-409C-BE32-E72D297353CC}">
                <c16:uniqueId val="{00000031-2380-445B-9FCB-4B0A2D039CB1}"/>
              </c:ext>
            </c:extLst>
          </c:dPt>
          <c:dPt>
            <c:idx val="25"/>
            <c:invertIfNegative val="0"/>
            <c:bubble3D val="0"/>
            <c:extLst>
              <c:ext xmlns:c16="http://schemas.microsoft.com/office/drawing/2014/chart" uri="{C3380CC4-5D6E-409C-BE32-E72D297353CC}">
                <c16:uniqueId val="{00000033-2380-445B-9FCB-4B0A2D039CB1}"/>
              </c:ext>
            </c:extLst>
          </c:dPt>
          <c:dPt>
            <c:idx val="26"/>
            <c:invertIfNegative val="0"/>
            <c:bubble3D val="0"/>
            <c:extLst>
              <c:ext xmlns:c16="http://schemas.microsoft.com/office/drawing/2014/chart" uri="{C3380CC4-5D6E-409C-BE32-E72D297353CC}">
                <c16:uniqueId val="{00000035-2380-445B-9FCB-4B0A2D039CB1}"/>
              </c:ext>
            </c:extLst>
          </c:dPt>
          <c:dPt>
            <c:idx val="27"/>
            <c:invertIfNegative val="0"/>
            <c:bubble3D val="0"/>
            <c:extLst>
              <c:ext xmlns:c16="http://schemas.microsoft.com/office/drawing/2014/chart" uri="{C3380CC4-5D6E-409C-BE32-E72D297353CC}">
                <c16:uniqueId val="{00000037-2380-445B-9FCB-4B0A2D039CB1}"/>
              </c:ext>
            </c:extLst>
          </c:dPt>
          <c:dPt>
            <c:idx val="28"/>
            <c:invertIfNegative val="0"/>
            <c:bubble3D val="0"/>
            <c:extLst>
              <c:ext xmlns:c16="http://schemas.microsoft.com/office/drawing/2014/chart" uri="{C3380CC4-5D6E-409C-BE32-E72D297353CC}">
                <c16:uniqueId val="{00000039-2380-445B-9FCB-4B0A2D039CB1}"/>
              </c:ext>
            </c:extLst>
          </c:dPt>
          <c:dPt>
            <c:idx val="29"/>
            <c:invertIfNegative val="0"/>
            <c:bubble3D val="0"/>
            <c:extLst>
              <c:ext xmlns:c16="http://schemas.microsoft.com/office/drawing/2014/chart" uri="{C3380CC4-5D6E-409C-BE32-E72D297353CC}">
                <c16:uniqueId val="{0000003B-2380-445B-9FCB-4B0A2D039CB1}"/>
              </c:ext>
            </c:extLst>
          </c:dPt>
          <c:dPt>
            <c:idx val="30"/>
            <c:invertIfNegative val="0"/>
            <c:bubble3D val="0"/>
            <c:extLst>
              <c:ext xmlns:c16="http://schemas.microsoft.com/office/drawing/2014/chart" uri="{C3380CC4-5D6E-409C-BE32-E72D297353CC}">
                <c16:uniqueId val="{0000003D-2380-445B-9FCB-4B0A2D039CB1}"/>
              </c:ext>
            </c:extLst>
          </c:dPt>
          <c:dPt>
            <c:idx val="31"/>
            <c:invertIfNegative val="0"/>
            <c:bubble3D val="0"/>
            <c:extLst>
              <c:ext xmlns:c16="http://schemas.microsoft.com/office/drawing/2014/chart" uri="{C3380CC4-5D6E-409C-BE32-E72D297353CC}">
                <c16:uniqueId val="{0000003F-2380-445B-9FCB-4B0A2D039CB1}"/>
              </c:ext>
            </c:extLst>
          </c:dPt>
          <c:dPt>
            <c:idx val="32"/>
            <c:invertIfNegative val="0"/>
            <c:bubble3D val="0"/>
            <c:extLst>
              <c:ext xmlns:c16="http://schemas.microsoft.com/office/drawing/2014/chart" uri="{C3380CC4-5D6E-409C-BE32-E72D297353CC}">
                <c16:uniqueId val="{00000040-2380-445B-9FCB-4B0A2D039CB1}"/>
              </c:ext>
            </c:extLst>
          </c:dPt>
          <c:dPt>
            <c:idx val="33"/>
            <c:invertIfNegative val="0"/>
            <c:bubble3D val="0"/>
            <c:extLst>
              <c:ext xmlns:c16="http://schemas.microsoft.com/office/drawing/2014/chart" uri="{C3380CC4-5D6E-409C-BE32-E72D297353CC}">
                <c16:uniqueId val="{00000042-2380-445B-9FCB-4B0A2D039CB1}"/>
              </c:ext>
            </c:extLst>
          </c:dPt>
          <c:dPt>
            <c:idx val="34"/>
            <c:invertIfNegative val="0"/>
            <c:bubble3D val="0"/>
            <c:extLst>
              <c:ext xmlns:c16="http://schemas.microsoft.com/office/drawing/2014/chart" uri="{C3380CC4-5D6E-409C-BE32-E72D297353CC}">
                <c16:uniqueId val="{00000044-2380-445B-9FCB-4B0A2D039CB1}"/>
              </c:ext>
            </c:extLst>
          </c:dPt>
          <c:dPt>
            <c:idx val="35"/>
            <c:invertIfNegative val="0"/>
            <c:bubble3D val="0"/>
            <c:extLst>
              <c:ext xmlns:c16="http://schemas.microsoft.com/office/drawing/2014/chart" uri="{C3380CC4-5D6E-409C-BE32-E72D297353CC}">
                <c16:uniqueId val="{00000046-2380-445B-9FCB-4B0A2D039CB1}"/>
              </c:ext>
            </c:extLst>
          </c:dPt>
          <c:dPt>
            <c:idx val="36"/>
            <c:invertIfNegative val="0"/>
            <c:bubble3D val="0"/>
            <c:extLst>
              <c:ext xmlns:c16="http://schemas.microsoft.com/office/drawing/2014/chart" uri="{C3380CC4-5D6E-409C-BE32-E72D297353CC}">
                <c16:uniqueId val="{00000048-2380-445B-9FCB-4B0A2D039CB1}"/>
              </c:ext>
            </c:extLst>
          </c:dPt>
          <c:dPt>
            <c:idx val="37"/>
            <c:invertIfNegative val="0"/>
            <c:bubble3D val="0"/>
            <c:extLst>
              <c:ext xmlns:c16="http://schemas.microsoft.com/office/drawing/2014/chart" uri="{C3380CC4-5D6E-409C-BE32-E72D297353CC}">
                <c16:uniqueId val="{0000004A-2380-445B-9FCB-4B0A2D039CB1}"/>
              </c:ext>
            </c:extLst>
          </c:dPt>
          <c:dPt>
            <c:idx val="38"/>
            <c:invertIfNegative val="0"/>
            <c:bubble3D val="0"/>
            <c:extLst>
              <c:ext xmlns:c16="http://schemas.microsoft.com/office/drawing/2014/chart" uri="{C3380CC4-5D6E-409C-BE32-E72D297353CC}">
                <c16:uniqueId val="{0000004C-2380-445B-9FCB-4B0A2D039CB1}"/>
              </c:ext>
            </c:extLst>
          </c:dPt>
          <c:dPt>
            <c:idx val="39"/>
            <c:invertIfNegative val="0"/>
            <c:bubble3D val="0"/>
            <c:extLst>
              <c:ext xmlns:c16="http://schemas.microsoft.com/office/drawing/2014/chart" uri="{C3380CC4-5D6E-409C-BE32-E72D297353CC}">
                <c16:uniqueId val="{0000004E-2380-445B-9FCB-4B0A2D039CB1}"/>
              </c:ext>
            </c:extLst>
          </c:dPt>
          <c:cat>
            <c:strRef>
              <c:f>'Amortisation Profile I'!$A$9:$A$57</c:f>
              <c:strCache>
                <c:ptCount val="35"/>
                <c:pt idx="0">
                  <c:v>Poolcut</c:v>
                </c:pt>
                <c:pt idx="1">
                  <c:v>07/2019</c:v>
                </c:pt>
                <c:pt idx="2">
                  <c:v>08/2019</c:v>
                </c:pt>
                <c:pt idx="3">
                  <c:v>09/2019</c:v>
                </c:pt>
                <c:pt idx="4">
                  <c:v>10/2019</c:v>
                </c:pt>
                <c:pt idx="5">
                  <c:v>11/2019</c:v>
                </c:pt>
                <c:pt idx="6">
                  <c:v>12/2019</c:v>
                </c:pt>
                <c:pt idx="7">
                  <c:v>01/2020</c:v>
                </c:pt>
                <c:pt idx="8">
                  <c:v>02/2020</c:v>
                </c:pt>
                <c:pt idx="9">
                  <c:v>03/2020</c:v>
                </c:pt>
                <c:pt idx="10">
                  <c:v>04/2020</c:v>
                </c:pt>
                <c:pt idx="11">
                  <c:v>05/2020</c:v>
                </c:pt>
                <c:pt idx="12">
                  <c:v>06/2020</c:v>
                </c:pt>
                <c:pt idx="13">
                  <c:v>07/2020</c:v>
                </c:pt>
                <c:pt idx="14">
                  <c:v>08/2020</c:v>
                </c:pt>
                <c:pt idx="15">
                  <c:v>09/2020</c:v>
                </c:pt>
                <c:pt idx="16">
                  <c:v>10/2020</c:v>
                </c:pt>
                <c:pt idx="17">
                  <c:v>11/2020</c:v>
                </c:pt>
                <c:pt idx="18">
                  <c:v>12/2020</c:v>
                </c:pt>
                <c:pt idx="19">
                  <c:v>01/2021</c:v>
                </c:pt>
                <c:pt idx="20">
                  <c:v>02/2021</c:v>
                </c:pt>
                <c:pt idx="21">
                  <c:v>03/2021</c:v>
                </c:pt>
                <c:pt idx="22">
                  <c:v>04/2021</c:v>
                </c:pt>
                <c:pt idx="23">
                  <c:v>05/2021</c:v>
                </c:pt>
                <c:pt idx="24">
                  <c:v>06/2021</c:v>
                </c:pt>
                <c:pt idx="25">
                  <c:v>07/2021</c:v>
                </c:pt>
                <c:pt idx="26">
                  <c:v>08/2021</c:v>
                </c:pt>
                <c:pt idx="27">
                  <c:v>09/2021</c:v>
                </c:pt>
                <c:pt idx="28">
                  <c:v>10/2021</c:v>
                </c:pt>
                <c:pt idx="29">
                  <c:v>11/2021</c:v>
                </c:pt>
                <c:pt idx="30">
                  <c:v>12/2021</c:v>
                </c:pt>
                <c:pt idx="31">
                  <c:v>01/2022</c:v>
                </c:pt>
                <c:pt idx="32">
                  <c:v>02/2022</c:v>
                </c:pt>
                <c:pt idx="33">
                  <c:v>03/2022</c:v>
                </c:pt>
                <c:pt idx="34">
                  <c:v>04/2022</c:v>
                </c:pt>
              </c:strCache>
            </c:strRef>
          </c:cat>
          <c:val>
            <c:numRef>
              <c:f>'Amortisation Profile I'!$B$9:$B$57</c:f>
              <c:numCache>
                <c:formatCode>_(* #,##0.00_);_(* \(#,##0.00\);_(* "-"??_);_(@_)</c:formatCode>
                <c:ptCount val="35"/>
                <c:pt idx="0">
                  <c:v>1000000000</c:v>
                </c:pt>
                <c:pt idx="1">
                  <c:v>1000000000</c:v>
                </c:pt>
                <c:pt idx="2">
                  <c:v>958677825.05309355</c:v>
                </c:pt>
                <c:pt idx="3">
                  <c:v>894048325.03999996</c:v>
                </c:pt>
                <c:pt idx="4">
                  <c:v>835370325.07000005</c:v>
                </c:pt>
                <c:pt idx="5">
                  <c:v>779070325.07000005</c:v>
                </c:pt>
                <c:pt idx="6">
                  <c:v>730570325.08000004</c:v>
                </c:pt>
                <c:pt idx="7">
                  <c:v>682070325.08000004</c:v>
                </c:pt>
                <c:pt idx="8">
                  <c:v>634870325.08000004</c:v>
                </c:pt>
                <c:pt idx="9">
                  <c:v>593470325.07929742</c:v>
                </c:pt>
                <c:pt idx="10">
                  <c:v>552765485.2700001</c:v>
                </c:pt>
                <c:pt idx="11">
                  <c:v>513102830.27000016</c:v>
                </c:pt>
                <c:pt idx="12">
                  <c:v>474468841.5800001</c:v>
                </c:pt>
                <c:pt idx="13">
                  <c:v>436709035.06000012</c:v>
                </c:pt>
                <c:pt idx="14">
                  <c:v>400498301.8300001</c:v>
                </c:pt>
                <c:pt idx="15">
                  <c:v>366064626.76000011</c:v>
                </c:pt>
                <c:pt idx="16">
                  <c:v>333501480.56000012</c:v>
                </c:pt>
                <c:pt idx="17">
                  <c:v>302906966.74000013</c:v>
                </c:pt>
                <c:pt idx="18">
                  <c:v>274184036.91000015</c:v>
                </c:pt>
                <c:pt idx="19">
                  <c:v>247655081.37000015</c:v>
                </c:pt>
                <c:pt idx="20">
                  <c:v>223104615.01000014</c:v>
                </c:pt>
                <c:pt idx="21">
                  <c:v>200496894.08000013</c:v>
                </c:pt>
                <c:pt idx="22">
                  <c:v>179906954.73000014</c:v>
                </c:pt>
                <c:pt idx="23">
                  <c:v>161498573.41000015</c:v>
                </c:pt>
                <c:pt idx="24">
                  <c:v>143652686.72000015</c:v>
                </c:pt>
                <c:pt idx="25">
                  <c:v>126455325.63000013</c:v>
                </c:pt>
                <c:pt idx="26">
                  <c:v>110028653.05000013</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4F-2380-445B-9FCB-4B0A2D039CB1}"/>
            </c:ext>
          </c:extLst>
        </c:ser>
        <c:dLbls>
          <c:showLegendKey val="0"/>
          <c:showVal val="0"/>
          <c:showCatName val="0"/>
          <c:showSerName val="0"/>
          <c:showPercent val="0"/>
          <c:showBubbleSize val="0"/>
        </c:dLbls>
        <c:gapWidth val="35"/>
        <c:axId val="458981760"/>
        <c:axId val="458983680"/>
      </c:barChart>
      <c:lineChart>
        <c:grouping val="standard"/>
        <c:varyColors val="0"/>
        <c:ser>
          <c:idx val="3"/>
          <c:order val="1"/>
          <c:tx>
            <c:v>Overcollateralisation of the period</c:v>
          </c:tx>
          <c:dLbls>
            <c:numFmt formatCode="#.000%" sourceLinked="0"/>
            <c:spPr>
              <a:noFill/>
              <a:ln>
                <a:noFill/>
              </a:ln>
              <a:effectLst/>
            </c:spPr>
            <c:txPr>
              <a:bodyPr rot="5400000" vert="horz"/>
              <a:lstStyle/>
              <a:p>
                <a:pPr>
                  <a:defRPr/>
                </a:pPr>
                <a:endParaRPr lang="en-US"/>
              </a:p>
            </c:txPr>
            <c:dLblPos val="b"/>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'Amortisation Profile I'!$A$9:$A$57</c:f>
              <c:strCache>
                <c:ptCount val="35"/>
                <c:pt idx="0">
                  <c:v>Poolcut</c:v>
                </c:pt>
                <c:pt idx="1">
                  <c:v>07/2019</c:v>
                </c:pt>
                <c:pt idx="2">
                  <c:v>08/2019</c:v>
                </c:pt>
                <c:pt idx="3">
                  <c:v>09/2019</c:v>
                </c:pt>
                <c:pt idx="4">
                  <c:v>10/2019</c:v>
                </c:pt>
                <c:pt idx="5">
                  <c:v>11/2019</c:v>
                </c:pt>
                <c:pt idx="6">
                  <c:v>12/2019</c:v>
                </c:pt>
                <c:pt idx="7">
                  <c:v>01/2020</c:v>
                </c:pt>
                <c:pt idx="8">
                  <c:v>02/2020</c:v>
                </c:pt>
                <c:pt idx="9">
                  <c:v>03/2020</c:v>
                </c:pt>
                <c:pt idx="10">
                  <c:v>04/2020</c:v>
                </c:pt>
                <c:pt idx="11">
                  <c:v>05/2020</c:v>
                </c:pt>
                <c:pt idx="12">
                  <c:v>06/2020</c:v>
                </c:pt>
                <c:pt idx="13">
                  <c:v>07/2020</c:v>
                </c:pt>
                <c:pt idx="14">
                  <c:v>08/2020</c:v>
                </c:pt>
                <c:pt idx="15">
                  <c:v>09/2020</c:v>
                </c:pt>
                <c:pt idx="16">
                  <c:v>10/2020</c:v>
                </c:pt>
                <c:pt idx="17">
                  <c:v>11/2020</c:v>
                </c:pt>
                <c:pt idx="18">
                  <c:v>12/2020</c:v>
                </c:pt>
                <c:pt idx="19">
                  <c:v>01/2021</c:v>
                </c:pt>
                <c:pt idx="20">
                  <c:v>02/2021</c:v>
                </c:pt>
                <c:pt idx="21">
                  <c:v>03/2021</c:v>
                </c:pt>
                <c:pt idx="22">
                  <c:v>04/2021</c:v>
                </c:pt>
                <c:pt idx="23">
                  <c:v>05/2021</c:v>
                </c:pt>
                <c:pt idx="24">
                  <c:v>06/2021</c:v>
                </c:pt>
                <c:pt idx="25">
                  <c:v>07/2021</c:v>
                </c:pt>
                <c:pt idx="26">
                  <c:v>08/2021</c:v>
                </c:pt>
                <c:pt idx="27">
                  <c:v>09/2021</c:v>
                </c:pt>
                <c:pt idx="28">
                  <c:v>10/2021</c:v>
                </c:pt>
                <c:pt idx="29">
                  <c:v>11/2021</c:v>
                </c:pt>
                <c:pt idx="30">
                  <c:v>12/2021</c:v>
                </c:pt>
                <c:pt idx="31">
                  <c:v>01/2022</c:v>
                </c:pt>
                <c:pt idx="32">
                  <c:v>02/2022</c:v>
                </c:pt>
                <c:pt idx="33">
                  <c:v>03/2022</c:v>
                </c:pt>
                <c:pt idx="34">
                  <c:v>04/2022</c:v>
                </c:pt>
              </c:strCache>
            </c:strRef>
          </c:cat>
          <c:val>
            <c:numRef>
              <c:f>'Amortisation Profile I'!$F$12:$F$47</c:f>
            </c:numRef>
          </c:val>
          <c:smooth val="0"/>
          <c:extLst>
            <c:ext xmlns:c16="http://schemas.microsoft.com/office/drawing/2014/chart" uri="{C3380CC4-5D6E-409C-BE32-E72D297353CC}">
              <c16:uniqueId val="{00000050-2380-445B-9FCB-4B0A2D039CB1}"/>
            </c:ext>
          </c:extLst>
        </c:ser>
        <c:dLbls>
          <c:showLegendKey val="0"/>
          <c:showVal val="0"/>
          <c:showCatName val="0"/>
          <c:showSerName val="0"/>
          <c:showPercent val="0"/>
          <c:showBubbleSize val="0"/>
        </c:dLbls>
        <c:marker val="1"/>
        <c:smooth val="0"/>
        <c:axId val="458987392"/>
        <c:axId val="458985856"/>
      </c:lineChart>
      <c:catAx>
        <c:axId val="458981760"/>
        <c:scaling>
          <c:orientation val="minMax"/>
        </c:scaling>
        <c:delete val="0"/>
        <c:axPos val="b"/>
        <c:title>
          <c:tx>
            <c:rich>
              <a:bodyPr/>
              <a:lstStyle/>
              <a:p>
                <a:pPr>
                  <a:defRPr/>
                </a:pPr>
                <a:r>
                  <a:rPr lang="de-DE"/>
                  <a:t>Outstanding </a:t>
                </a:r>
                <a:br>
                  <a:rPr lang="de-DE"/>
                </a:br>
                <a:r>
                  <a:rPr lang="de-DE"/>
                  <a:t>Balance in BRL</a:t>
                </a:r>
              </a:p>
            </c:rich>
          </c:tx>
          <c:layout>
            <c:manualLayout>
              <c:xMode val="edge"/>
              <c:yMode val="edge"/>
              <c:x val="5.7873969938175571E-3"/>
              <c:y val="7.4866342438820524E-2"/>
            </c:manualLayout>
          </c:layout>
          <c:overlay val="0"/>
        </c:title>
        <c:numFmt formatCode="yyyy" sourceLinked="0"/>
        <c:majorTickMark val="out"/>
        <c:minorTickMark val="none"/>
        <c:tickLblPos val="nextTo"/>
        <c:txPr>
          <a:bodyPr rot="-3600000" vert="horz"/>
          <a:lstStyle/>
          <a:p>
            <a:pPr>
              <a:defRPr sz="600"/>
            </a:pPr>
            <a:endParaRPr lang="en-US"/>
          </a:p>
        </c:txPr>
        <c:crossAx val="458983680"/>
        <c:crosses val="autoZero"/>
        <c:auto val="1"/>
        <c:lblAlgn val="ctr"/>
        <c:lblOffset val="100"/>
        <c:tickLblSkip val="1"/>
        <c:tickMarkSkip val="1"/>
        <c:noMultiLvlLbl val="0"/>
      </c:catAx>
      <c:valAx>
        <c:axId val="458983680"/>
        <c:scaling>
          <c:orientation val="minMax"/>
          <c:max val="1000000000"/>
        </c:scaling>
        <c:delete val="0"/>
        <c:axPos val="l"/>
        <c:majorGridlines/>
        <c:title>
          <c:tx>
            <c:rich>
              <a:bodyPr rot="0" vert="horz"/>
              <a:lstStyle/>
              <a:p>
                <a:pPr>
                  <a:defRPr/>
                </a:pPr>
                <a:r>
                  <a:rPr lang="de-DE"/>
                  <a:t>Reporting</a:t>
                </a:r>
                <a:br>
                  <a:rPr lang="de-DE"/>
                </a:br>
                <a:r>
                  <a:rPr lang="de-DE"/>
                  <a:t>Period</a:t>
                </a:r>
              </a:p>
            </c:rich>
          </c:tx>
          <c:layout>
            <c:manualLayout>
              <c:xMode val="edge"/>
              <c:yMode val="edge"/>
              <c:x val="1.5803370845098121E-3"/>
              <c:y val="0.89604890525088088"/>
            </c:manualLayout>
          </c:layout>
          <c:overlay val="0"/>
        </c:title>
        <c:numFmt formatCode="#,##0" sourceLinked="0"/>
        <c:majorTickMark val="out"/>
        <c:minorTickMark val="none"/>
        <c:tickLblPos val="nextTo"/>
        <c:txPr>
          <a:bodyPr rot="0" vert="horz"/>
          <a:lstStyle/>
          <a:p>
            <a:pPr>
              <a:defRPr/>
            </a:pPr>
            <a:endParaRPr lang="en-US"/>
          </a:p>
        </c:txPr>
        <c:crossAx val="458981760"/>
        <c:crosses val="autoZero"/>
        <c:crossBetween val="between"/>
      </c:valAx>
      <c:valAx>
        <c:axId val="458985856"/>
        <c:scaling>
          <c:orientation val="minMax"/>
          <c:max val="0.25"/>
          <c:min val="0"/>
        </c:scaling>
        <c:delete val="1"/>
        <c:axPos val="r"/>
        <c:numFmt formatCode="#.#00%" sourceLinked="0"/>
        <c:majorTickMark val="out"/>
        <c:minorTickMark val="none"/>
        <c:tickLblPos val="none"/>
        <c:crossAx val="458987392"/>
        <c:crosses val="max"/>
        <c:crossBetween val="between"/>
      </c:valAx>
      <c:catAx>
        <c:axId val="458987392"/>
        <c:scaling>
          <c:orientation val="minMax"/>
        </c:scaling>
        <c:delete val="1"/>
        <c:axPos val="b"/>
        <c:majorTickMark val="out"/>
        <c:minorTickMark val="none"/>
        <c:tickLblPos val="none"/>
        <c:crossAx val="458985856"/>
        <c:crosses val="autoZero"/>
        <c:auto val="1"/>
        <c:lblAlgn val="ctr"/>
        <c:lblOffset val="100"/>
        <c:noMultiLvlLbl val="0"/>
      </c:catAx>
    </c:plotArea>
    <c:plotVisOnly val="1"/>
    <c:dispBlanksAs val="gap"/>
    <c:showDLblsOverMax val="0"/>
  </c:chart>
  <c:txPr>
    <a:bodyPr/>
    <a:lstStyle/>
    <a:p>
      <a:pPr>
        <a:defRPr sz="800"/>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8BC8-4BB2-A280-EB92025CC42B}"/>
            </c:ext>
          </c:extLst>
        </c:ser>
        <c:dLbls>
          <c:showLegendKey val="0"/>
          <c:showVal val="0"/>
          <c:showCatName val="0"/>
          <c:showSerName val="0"/>
          <c:showPercent val="0"/>
          <c:showBubbleSize val="0"/>
        </c:dLbls>
        <c:gapWidth val="150"/>
        <c:axId val="459079680"/>
        <c:axId val="459081600"/>
      </c:barChart>
      <c:catAx>
        <c:axId val="459079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59081600"/>
        <c:crosses val="autoZero"/>
        <c:auto val="1"/>
        <c:lblAlgn val="ctr"/>
        <c:lblOffset val="100"/>
        <c:tickLblSkip val="1"/>
        <c:tickMarkSkip val="1"/>
        <c:noMultiLvlLbl val="0"/>
      </c:catAx>
      <c:valAx>
        <c:axId val="459081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59079680"/>
        <c:crosses val="autoZero"/>
        <c:crossBetween val="between"/>
        <c:majorUnit val="0.25"/>
        <c:minorUnit val="4.0000000000000022E-2"/>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4563-42D1-B2D7-EA7059BD56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4563-42D1-B2D7-EA7059BD56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570730552.77298343</c:v>
              </c:pt>
              <c:pt idx="44">
                <c:v>527462867.99620527</c:v>
              </c:pt>
              <c:pt idx="45">
                <c:v>485939380.8578673</c:v>
              </c:pt>
              <c:pt idx="46">
                <c:v>447076490.85896301</c:v>
              </c:pt>
              <c:pt idx="47">
                <c:v>410507869.1157707</c:v>
              </c:pt>
              <c:pt idx="48">
                <c:v>375640367.57772321</c:v>
              </c:pt>
              <c:pt idx="49">
                <c:v>342369720.45833278</c:v>
              </c:pt>
              <c:pt idx="50">
                <c:v>310661302.05693913</c:v>
              </c:pt>
              <c:pt idx="51">
                <c:v>280295358.14561552</c:v>
              </c:pt>
              <c:pt idx="52">
                <c:v>251079502.25278628</c:v>
              </c:pt>
              <c:pt idx="53">
                <c:v>223848436.52658287</c:v>
              </c:pt>
              <c:pt idx="54">
                <c:v>198547089.51941764</c:v>
              </c:pt>
              <c:pt idx="55">
                <c:v>174977984.13409373</c:v>
              </c:pt>
              <c:pt idx="56">
                <c:v>153154939.50392354</c:v>
              </c:pt>
              <c:pt idx="57">
                <c:v>133107605.43781948</c:v>
              </c:pt>
              <c:pt idx="58">
                <c:v>114922456.63056459</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4563-42D1-B2D7-EA7059BD56B7}"/>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4563-42D1-B2D7-EA7059BD56B7}"/>
            </c:ext>
          </c:extLst>
        </c:ser>
        <c:dLbls>
          <c:showLegendKey val="0"/>
          <c:showVal val="0"/>
          <c:showCatName val="0"/>
          <c:showSerName val="0"/>
          <c:showPercent val="0"/>
          <c:showBubbleSize val="0"/>
        </c:dLbls>
        <c:marker val="1"/>
        <c:smooth val="0"/>
        <c:axId val="459220864"/>
        <c:axId val="459223424"/>
      </c:lineChart>
      <c:catAx>
        <c:axId val="4592208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59223424"/>
        <c:crosses val="autoZero"/>
        <c:auto val="1"/>
        <c:lblAlgn val="ctr"/>
        <c:lblOffset val="100"/>
        <c:tickLblSkip val="3"/>
        <c:tickMarkSkip val="1"/>
        <c:noMultiLvlLbl val="0"/>
      </c:catAx>
      <c:valAx>
        <c:axId val="459223424"/>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92208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Expected Amortisation of the Discounted Principal</a:t>
            </a:r>
            <a:r>
              <a:rPr lang="de-DE" baseline="0"/>
              <a:t> Balance (in BRL)</a:t>
            </a:r>
            <a:endParaRPr lang="de-DE"/>
          </a:p>
        </c:rich>
      </c:tx>
      <c:layout>
        <c:manualLayout>
          <c:xMode val="edge"/>
          <c:yMode val="edge"/>
          <c:x val="0.17867352915897639"/>
          <c:y val="3.9013332430530442E-2"/>
        </c:manualLayout>
      </c:layout>
      <c:overlay val="0"/>
    </c:title>
    <c:autoTitleDeleted val="0"/>
    <c:plotArea>
      <c:layout>
        <c:manualLayout>
          <c:layoutTarget val="inner"/>
          <c:xMode val="edge"/>
          <c:yMode val="edge"/>
          <c:x val="0.10304118866425663"/>
          <c:y val="0.13188738549724219"/>
          <c:w val="0.82094246113574876"/>
          <c:h val="0.72996833850097498"/>
        </c:manualLayout>
      </c:layout>
      <c:barChart>
        <c:barDir val="col"/>
        <c:grouping val="clustered"/>
        <c:varyColors val="0"/>
        <c:ser>
          <c:idx val="0"/>
          <c:order val="0"/>
          <c:tx>
            <c:v>Expected Outstanding Disocunted Asset-Portfolio</c:v>
          </c:tx>
          <c:spPr>
            <a:solidFill>
              <a:schemeClr val="accent5">
                <a:lumMod val="60000"/>
                <a:lumOff val="40000"/>
              </a:schemeClr>
            </a:solidFill>
          </c:spPr>
          <c:invertIfNegative val="0"/>
          <c:cat>
            <c:numRef>
              <c:f>'Run Out Schedule'!$A$9:$A$58</c:f>
              <c:numCache>
                <c:formatCode>mm/yyyy</c:formatCode>
                <c:ptCount val="5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numCache>
            </c:numRef>
          </c:cat>
          <c:val>
            <c:numRef>
              <c:f>'Run Out Schedule'!$C$9:$C$58</c:f>
              <c:numCache>
                <c:formatCode>_([$R$ -416]* #,##0.00_);_([$R$ -416]* \(#,##0.00\);_([$R$ -416]* "-"??_);_(@_)</c:formatCode>
                <c:ptCount val="50"/>
                <c:pt idx="0">
                  <c:v>3700088.83</c:v>
                </c:pt>
                <c:pt idx="1">
                  <c:v>37280145</c:v>
                </c:pt>
                <c:pt idx="2">
                  <c:v>36785338.57</c:v>
                </c:pt>
                <c:pt idx="3">
                  <c:v>35965228.159999996</c:v>
                </c:pt>
                <c:pt idx="4">
                  <c:v>35160340.700000003</c:v>
                </c:pt>
                <c:pt idx="5">
                  <c:v>34505683.840000004</c:v>
                </c:pt>
                <c:pt idx="6">
                  <c:v>33172055.379999999</c:v>
                </c:pt>
                <c:pt idx="7">
                  <c:v>31602199.16</c:v>
                </c:pt>
                <c:pt idx="8">
                  <c:v>29929051.75</c:v>
                </c:pt>
                <c:pt idx="9">
                  <c:v>28147662.510000002</c:v>
                </c:pt>
                <c:pt idx="10">
                  <c:v>26451876.890000001</c:v>
                </c:pt>
                <c:pt idx="11">
                  <c:v>24423279.34</c:v>
                </c:pt>
                <c:pt idx="12">
                  <c:v>22598430.609999999</c:v>
                </c:pt>
                <c:pt idx="13">
                  <c:v>20796901.469999999</c:v>
                </c:pt>
                <c:pt idx="14">
                  <c:v>18909270.399999999</c:v>
                </c:pt>
                <c:pt idx="15">
                  <c:v>16846097.690000001</c:v>
                </c:pt>
                <c:pt idx="16">
                  <c:v>16389418.279999999</c:v>
                </c:pt>
                <c:pt idx="17">
                  <c:v>15844008.41</c:v>
                </c:pt>
                <c:pt idx="18">
                  <c:v>15173004.970000001</c:v>
                </c:pt>
                <c:pt idx="19">
                  <c:v>14599134.85</c:v>
                </c:pt>
                <c:pt idx="20">
                  <c:v>14027207.91</c:v>
                </c:pt>
                <c:pt idx="21">
                  <c:v>13436525.75</c:v>
                </c:pt>
                <c:pt idx="22">
                  <c:v>12733428.109999999</c:v>
                </c:pt>
                <c:pt idx="23">
                  <c:v>11933544.99</c:v>
                </c:pt>
                <c:pt idx="24">
                  <c:v>11246591</c:v>
                </c:pt>
                <c:pt idx="25">
                  <c:v>10557916.07</c:v>
                </c:pt>
                <c:pt idx="26">
                  <c:v>9831447.9800000004</c:v>
                </c:pt>
                <c:pt idx="27">
                  <c:v>8889828.2200000007</c:v>
                </c:pt>
                <c:pt idx="28">
                  <c:v>8526582.7699999996</c:v>
                </c:pt>
                <c:pt idx="29">
                  <c:v>8128679.1299999999</c:v>
                </c:pt>
                <c:pt idx="30">
                  <c:v>7643943.7999999998</c:v>
                </c:pt>
                <c:pt idx="31">
                  <c:v>7132761.2800000003</c:v>
                </c:pt>
                <c:pt idx="32">
                  <c:v>6548186.6799999997</c:v>
                </c:pt>
                <c:pt idx="33">
                  <c:v>6002007.9100000001</c:v>
                </c:pt>
                <c:pt idx="34">
                  <c:v>5447334.5800000001</c:v>
                </c:pt>
                <c:pt idx="35">
                  <c:v>4813031.1900000004</c:v>
                </c:pt>
                <c:pt idx="36">
                  <c:v>4191934.66</c:v>
                </c:pt>
                <c:pt idx="37">
                  <c:v>3657329.63</c:v>
                </c:pt>
                <c:pt idx="38">
                  <c:v>2935250.17</c:v>
                </c:pt>
                <c:pt idx="39">
                  <c:v>2028023.05</c:v>
                </c:pt>
                <c:pt idx="40">
                  <c:v>1887035.77</c:v>
                </c:pt>
                <c:pt idx="41">
                  <c:v>1734121.33</c:v>
                </c:pt>
                <c:pt idx="42">
                  <c:v>1535083.6</c:v>
                </c:pt>
                <c:pt idx="43">
                  <c:v>1330948.4099999999</c:v>
                </c:pt>
                <c:pt idx="44">
                  <c:v>1115878.26</c:v>
                </c:pt>
                <c:pt idx="45">
                  <c:v>906171.19</c:v>
                </c:pt>
                <c:pt idx="46">
                  <c:v>701988.66</c:v>
                </c:pt>
                <c:pt idx="47">
                  <c:v>442749.95</c:v>
                </c:pt>
                <c:pt idx="48">
                  <c:v>270981.2</c:v>
                </c:pt>
                <c:pt idx="49">
                  <c:v>98966.52</c:v>
                </c:pt>
              </c:numCache>
            </c:numRef>
          </c:val>
          <c:extLst>
            <c:ext xmlns:c16="http://schemas.microsoft.com/office/drawing/2014/chart" uri="{C3380CC4-5D6E-409C-BE32-E72D297353CC}">
              <c16:uniqueId val="{00000000-93DD-4905-8A4D-77293C6BE5A8}"/>
            </c:ext>
          </c:extLst>
        </c:ser>
        <c:dLbls>
          <c:showLegendKey val="0"/>
          <c:showVal val="0"/>
          <c:showCatName val="0"/>
          <c:showSerName val="0"/>
          <c:showPercent val="0"/>
          <c:showBubbleSize val="0"/>
        </c:dLbls>
        <c:gapWidth val="80"/>
        <c:overlap val="100"/>
        <c:axId val="459334400"/>
        <c:axId val="459335936"/>
      </c:barChart>
      <c:dateAx>
        <c:axId val="459334400"/>
        <c:scaling>
          <c:orientation val="minMax"/>
        </c:scaling>
        <c:delete val="0"/>
        <c:axPos val="b"/>
        <c:numFmt formatCode="mm/yyyy" sourceLinked="1"/>
        <c:majorTickMark val="out"/>
        <c:minorTickMark val="none"/>
        <c:tickLblPos val="nextTo"/>
        <c:txPr>
          <a:bodyPr rot="-3600000" vert="horz"/>
          <a:lstStyle/>
          <a:p>
            <a:pPr>
              <a:defRPr/>
            </a:pPr>
            <a:endParaRPr lang="en-US"/>
          </a:p>
        </c:txPr>
        <c:crossAx val="459335936"/>
        <c:crosses val="autoZero"/>
        <c:auto val="1"/>
        <c:lblOffset val="100"/>
        <c:baseTimeUnit val="months"/>
        <c:majorUnit val="5"/>
        <c:majorTimeUnit val="months"/>
        <c:minorUnit val="1"/>
        <c:minorTimeUnit val="months"/>
      </c:dateAx>
      <c:valAx>
        <c:axId val="459335936"/>
        <c:scaling>
          <c:orientation val="minMax"/>
          <c:max val="60000000"/>
          <c:min val="0"/>
        </c:scaling>
        <c:delete val="0"/>
        <c:axPos val="l"/>
        <c:majorGridlines/>
        <c:title>
          <c:tx>
            <c:rich>
              <a:bodyPr rot="0" vert="horz"/>
              <a:lstStyle/>
              <a:p>
                <a:pPr>
                  <a:defRPr/>
                </a:pPr>
                <a:r>
                  <a:rPr lang="de-DE"/>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b="1"/>
            </a:pPr>
            <a:endParaRPr lang="en-US"/>
          </a:p>
        </c:txPr>
        <c:crossAx val="459334400"/>
        <c:crosses val="autoZero"/>
        <c:crossBetween val="between"/>
      </c:valAx>
    </c:plotArea>
    <c:plotVisOnly val="1"/>
    <c:dispBlanksAs val="gap"/>
    <c:showDLblsOverMax val="0"/>
  </c:chart>
  <c:printSettings>
    <c:headerFooter alignWithMargins="0"/>
    <c:pageMargins b="0.98425196899999956" l="0.78740157499999996" r="0.78740157499999996" t="0.98425196899999956" header="0.4921259845000015" footer="0.492125984500001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275011909182722E-2"/>
          <c:y val="9.2340294895698949E-2"/>
          <c:w val="0.95374314658949089"/>
          <c:h val="0.80327975790874862"/>
        </c:manualLayout>
      </c:layout>
      <c:lineChart>
        <c:grouping val="standard"/>
        <c:varyColors val="0"/>
        <c:ser>
          <c:idx val="0"/>
          <c:order val="0"/>
          <c:tx>
            <c:strRef>
              <c:f>'Data for Charts'!$A$3</c:f>
              <c:strCache>
                <c:ptCount val="1"/>
                <c:pt idx="0">
                  <c:v>1 to 14</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Charts'!$B$3:$AL$3</c:f>
              <c:numCache>
                <c:formatCode>0.0%</c:formatCode>
                <c:ptCount val="37"/>
                <c:pt idx="0">
                  <c:v>0.8519480519480519</c:v>
                </c:pt>
                <c:pt idx="1">
                  <c:v>0.76034482758620692</c:v>
                </c:pt>
                <c:pt idx="2">
                  <c:v>0.8649825783972126</c:v>
                </c:pt>
                <c:pt idx="3">
                  <c:v>0.66202090592334495</c:v>
                </c:pt>
                <c:pt idx="4">
                  <c:v>0.7181973759269823</c:v>
                </c:pt>
                <c:pt idx="5">
                  <c:v>0.58731537793223287</c:v>
                </c:pt>
                <c:pt idx="6">
                  <c:v>0.59050683829444894</c:v>
                </c:pt>
                <c:pt idx="7">
                  <c:v>0.81950040290088633</c:v>
                </c:pt>
              </c:numCache>
            </c:numRef>
          </c:val>
          <c:smooth val="0"/>
          <c:extLst>
            <c:ext xmlns:c16="http://schemas.microsoft.com/office/drawing/2014/chart" uri="{C3380CC4-5D6E-409C-BE32-E72D297353CC}">
              <c16:uniqueId val="{00000000-7387-4CD7-874F-2928E758EADB}"/>
            </c:ext>
          </c:extLst>
        </c:ser>
        <c:ser>
          <c:idx val="1"/>
          <c:order val="1"/>
          <c:tx>
            <c:strRef>
              <c:f>'Data for Charts'!$A$4</c:f>
              <c:strCache>
                <c:ptCount val="1"/>
                <c:pt idx="0">
                  <c:v>15 to 30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Charts'!$B$4:$AL$4</c:f>
              <c:numCache>
                <c:formatCode>0.0%</c:formatCode>
                <c:ptCount val="37"/>
                <c:pt idx="0">
                  <c:v>0.14805194805194805</c:v>
                </c:pt>
                <c:pt idx="1">
                  <c:v>0.19741379310344828</c:v>
                </c:pt>
                <c:pt idx="2">
                  <c:v>6.968641114982578E-2</c:v>
                </c:pt>
                <c:pt idx="3">
                  <c:v>0.20296167247386759</c:v>
                </c:pt>
                <c:pt idx="4">
                  <c:v>0.16942384483742157</c:v>
                </c:pt>
                <c:pt idx="5">
                  <c:v>0.22502172024326672</c:v>
                </c:pt>
                <c:pt idx="6">
                  <c:v>0.18825422365245373</c:v>
                </c:pt>
                <c:pt idx="7">
                  <c:v>9.6427612140746716E-2</c:v>
                </c:pt>
              </c:numCache>
            </c:numRef>
          </c:val>
          <c:smooth val="0"/>
          <c:extLst>
            <c:ext xmlns:c16="http://schemas.microsoft.com/office/drawing/2014/chart" uri="{C3380CC4-5D6E-409C-BE32-E72D297353CC}">
              <c16:uniqueId val="{00000001-7387-4CD7-874F-2928E758EADB}"/>
            </c:ext>
          </c:extLst>
        </c:ser>
        <c:ser>
          <c:idx val="2"/>
          <c:order val="2"/>
          <c:tx>
            <c:strRef>
              <c:f>'Data for Charts'!$A$5</c:f>
              <c:strCache>
                <c:ptCount val="1"/>
                <c:pt idx="0">
                  <c:v>31 to 60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Charts'!$B$5:$AL$5</c:f>
              <c:numCache>
                <c:formatCode>0.0%</c:formatCode>
                <c:ptCount val="37"/>
                <c:pt idx="0">
                  <c:v>0</c:v>
                </c:pt>
                <c:pt idx="1">
                  <c:v>4.2241379310344829E-2</c:v>
                </c:pt>
                <c:pt idx="2">
                  <c:v>4.0069686411149823E-2</c:v>
                </c:pt>
                <c:pt idx="3">
                  <c:v>6.968641114982578E-2</c:v>
                </c:pt>
                <c:pt idx="4">
                  <c:v>5.4192812321734167E-2</c:v>
                </c:pt>
                <c:pt idx="5">
                  <c:v>7.9061685490877498E-2</c:v>
                </c:pt>
                <c:pt idx="6">
                  <c:v>8.9300080450522928E-2</c:v>
                </c:pt>
                <c:pt idx="7">
                  <c:v>3.0083266183185603E-2</c:v>
                </c:pt>
              </c:numCache>
            </c:numRef>
          </c:val>
          <c:smooth val="0"/>
          <c:extLst>
            <c:ext xmlns:c16="http://schemas.microsoft.com/office/drawing/2014/chart" uri="{C3380CC4-5D6E-409C-BE32-E72D297353CC}">
              <c16:uniqueId val="{00000002-7387-4CD7-874F-2928E758EADB}"/>
            </c:ext>
          </c:extLst>
        </c:ser>
        <c:ser>
          <c:idx val="3"/>
          <c:order val="3"/>
          <c:tx>
            <c:strRef>
              <c:f>'Data for Charts'!$A$6</c:f>
              <c:strCache>
                <c:ptCount val="1"/>
                <c:pt idx="0">
                  <c:v>61 to 90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Charts'!$B$6:$AL$6</c:f>
              <c:numCache>
                <c:formatCode>0.0%</c:formatCode>
                <c:ptCount val="37"/>
                <c:pt idx="0">
                  <c:v>0</c:v>
                </c:pt>
                <c:pt idx="1">
                  <c:v>0</c:v>
                </c:pt>
                <c:pt idx="2">
                  <c:v>2.5261324041811847E-2</c:v>
                </c:pt>
                <c:pt idx="3">
                  <c:v>4.0069686411149823E-2</c:v>
                </c:pt>
                <c:pt idx="4">
                  <c:v>2.9663434112949229E-2</c:v>
                </c:pt>
                <c:pt idx="5">
                  <c:v>3.3014769765421371E-2</c:v>
                </c:pt>
                <c:pt idx="6">
                  <c:v>4.0225261464199517E-2</c:v>
                </c:pt>
                <c:pt idx="7">
                  <c:v>1.6384636046199302E-2</c:v>
                </c:pt>
              </c:numCache>
            </c:numRef>
          </c:val>
          <c:smooth val="0"/>
          <c:extLst>
            <c:ext xmlns:c16="http://schemas.microsoft.com/office/drawing/2014/chart" uri="{C3380CC4-5D6E-409C-BE32-E72D297353CC}">
              <c16:uniqueId val="{00000003-7387-4CD7-874F-2928E758EADB}"/>
            </c:ext>
          </c:extLst>
        </c:ser>
        <c:ser>
          <c:idx val="4"/>
          <c:order val="4"/>
          <c:tx>
            <c:strRef>
              <c:f>'Data for Charts'!$A$7</c:f>
              <c:strCache>
                <c:ptCount val="1"/>
                <c:pt idx="0">
                  <c:v>91 to 120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Charts'!$B$7:$AL$7</c:f>
              <c:numCache>
                <c:formatCode>0.0%</c:formatCode>
                <c:ptCount val="37"/>
                <c:pt idx="0">
                  <c:v>0</c:v>
                </c:pt>
                <c:pt idx="1">
                  <c:v>0</c:v>
                </c:pt>
                <c:pt idx="2">
                  <c:v>0</c:v>
                </c:pt>
                <c:pt idx="3">
                  <c:v>2.5261324041811847E-2</c:v>
                </c:pt>
                <c:pt idx="4">
                  <c:v>1.5972618368511125E-2</c:v>
                </c:pt>
                <c:pt idx="5">
                  <c:v>3.6490008688097306E-2</c:v>
                </c:pt>
                <c:pt idx="6">
                  <c:v>2.8157683024939661E-2</c:v>
                </c:pt>
                <c:pt idx="7">
                  <c:v>1.1012624227773301E-2</c:v>
                </c:pt>
              </c:numCache>
            </c:numRef>
          </c:val>
          <c:smooth val="0"/>
          <c:extLst>
            <c:ext xmlns:c16="http://schemas.microsoft.com/office/drawing/2014/chart" uri="{C3380CC4-5D6E-409C-BE32-E72D297353CC}">
              <c16:uniqueId val="{00000004-7387-4CD7-874F-2928E758EADB}"/>
            </c:ext>
          </c:extLst>
        </c:ser>
        <c:ser>
          <c:idx val="5"/>
          <c:order val="5"/>
          <c:tx>
            <c:strRef>
              <c:f>'Data for Charts'!$A$8</c:f>
              <c:strCache>
                <c:ptCount val="1"/>
                <c:pt idx="0">
                  <c:v>121 to 150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Charts'!$B$8:$AL$8</c:f>
              <c:numCache>
                <c:formatCode>0.0%</c:formatCode>
                <c:ptCount val="37"/>
                <c:pt idx="0">
                  <c:v>0</c:v>
                </c:pt>
                <c:pt idx="1">
                  <c:v>0</c:v>
                </c:pt>
                <c:pt idx="2">
                  <c:v>0</c:v>
                </c:pt>
                <c:pt idx="3">
                  <c:v>0</c:v>
                </c:pt>
                <c:pt idx="4">
                  <c:v>1.2549914432401598E-2</c:v>
                </c:pt>
                <c:pt idx="5">
                  <c:v>2.0851433536055605E-2</c:v>
                </c:pt>
                <c:pt idx="6">
                  <c:v>2.7353177795655673E-2</c:v>
                </c:pt>
                <c:pt idx="7">
                  <c:v>6.7150147730325009E-3</c:v>
                </c:pt>
              </c:numCache>
            </c:numRef>
          </c:val>
          <c:smooth val="0"/>
          <c:extLst>
            <c:ext xmlns:c16="http://schemas.microsoft.com/office/drawing/2014/chart" uri="{C3380CC4-5D6E-409C-BE32-E72D297353CC}">
              <c16:uniqueId val="{00000005-7387-4CD7-874F-2928E758EADB}"/>
            </c:ext>
          </c:extLst>
        </c:ser>
        <c:ser>
          <c:idx val="6"/>
          <c:order val="6"/>
          <c:tx>
            <c:strRef>
              <c:f>'Data for Charts'!$A$9</c:f>
              <c:strCache>
                <c:ptCount val="1"/>
                <c:pt idx="0">
                  <c:v>151 to 180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Charts'!$B$9:$AL$9</c:f>
              <c:numCache>
                <c:formatCode>0.0%</c:formatCode>
                <c:ptCount val="37"/>
                <c:pt idx="0">
                  <c:v>0</c:v>
                </c:pt>
                <c:pt idx="1">
                  <c:v>0</c:v>
                </c:pt>
                <c:pt idx="2">
                  <c:v>0</c:v>
                </c:pt>
                <c:pt idx="3">
                  <c:v>0</c:v>
                </c:pt>
                <c:pt idx="4">
                  <c:v>0</c:v>
                </c:pt>
                <c:pt idx="5">
                  <c:v>1.8245004344048653E-2</c:v>
                </c:pt>
                <c:pt idx="6">
                  <c:v>1.7699115044247787E-2</c:v>
                </c:pt>
                <c:pt idx="7">
                  <c:v>8.8638195004029016E-3</c:v>
                </c:pt>
              </c:numCache>
            </c:numRef>
          </c:val>
          <c:smooth val="0"/>
          <c:extLst>
            <c:ext xmlns:c16="http://schemas.microsoft.com/office/drawing/2014/chart" uri="{C3380CC4-5D6E-409C-BE32-E72D297353CC}">
              <c16:uniqueId val="{00000006-7387-4CD7-874F-2928E758EADB}"/>
            </c:ext>
          </c:extLst>
        </c:ser>
        <c:ser>
          <c:idx val="7"/>
          <c:order val="7"/>
          <c:tx>
            <c:strRef>
              <c:f>'Data for Charts'!$A$10</c:f>
              <c:strCache>
                <c:ptCount val="1"/>
                <c:pt idx="0">
                  <c:v>181 to 360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Charts'!$B$10:$AL$10</c:f>
              <c:numCache>
                <c:formatCode>0.0%</c:formatCode>
                <c:ptCount val="37"/>
                <c:pt idx="0">
                  <c:v>0</c:v>
                </c:pt>
                <c:pt idx="1">
                  <c:v>0</c:v>
                </c:pt>
                <c:pt idx="2">
                  <c:v>0</c:v>
                </c:pt>
                <c:pt idx="3">
                  <c:v>0</c:v>
                </c:pt>
                <c:pt idx="4">
                  <c:v>0</c:v>
                </c:pt>
                <c:pt idx="5">
                  <c:v>0</c:v>
                </c:pt>
                <c:pt idx="6">
                  <c:v>1.8503620273531779E-2</c:v>
                </c:pt>
                <c:pt idx="7">
                  <c:v>1.1012624227773301E-2</c:v>
                </c:pt>
              </c:numCache>
            </c:numRef>
          </c:val>
          <c:smooth val="0"/>
          <c:extLst>
            <c:ext xmlns:c16="http://schemas.microsoft.com/office/drawing/2014/chart" uri="{C3380CC4-5D6E-409C-BE32-E72D297353CC}">
              <c16:uniqueId val="{00000007-7387-4CD7-874F-2928E758EADB}"/>
            </c:ext>
          </c:extLst>
        </c:ser>
        <c:ser>
          <c:idx val="8"/>
          <c:order val="8"/>
          <c:tx>
            <c:strRef>
              <c:f>'Data for Charts'!$A$11</c:f>
              <c:strCache>
                <c:ptCount val="1"/>
                <c:pt idx="0">
                  <c:v>361 to 720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Charts'!$B$11:$AL$11</c:f>
              <c:numCache>
                <c:formatCode>0.0%</c:formatCode>
                <c:ptCount val="37"/>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7387-4CD7-874F-2928E758EADB}"/>
            </c:ext>
          </c:extLst>
        </c:ser>
        <c:ser>
          <c:idx val="9"/>
          <c:order val="9"/>
          <c:tx>
            <c:strRef>
              <c:f>'Data for Charts'!$A$12</c:f>
              <c:strCache>
                <c:ptCount val="1"/>
                <c:pt idx="0">
                  <c:v>&gt; 720</c:v>
                </c:pt>
              </c:strCache>
            </c:strRef>
          </c:tx>
          <c:marker>
            <c:symbol val="none"/>
          </c:marker>
          <c:cat>
            <c:numRef>
              <c:f>'Data for Charts'!$B$2:$BJ$2</c:f>
              <c:numCache>
                <c:formatCode>[$-416]mmm\-yy;@</c:formatCode>
                <c:ptCount val="61"/>
                <c:pt idx="0">
                  <c:v>43677</c:v>
                </c:pt>
                <c:pt idx="1">
                  <c:v>43708</c:v>
                </c:pt>
                <c:pt idx="2">
                  <c:v>43738</c:v>
                </c:pt>
                <c:pt idx="3">
                  <c:v>43769</c:v>
                </c:pt>
                <c:pt idx="4">
                  <c:v>43799</c:v>
                </c:pt>
                <c:pt idx="5">
                  <c:v>43830</c:v>
                </c:pt>
                <c:pt idx="6">
                  <c:v>43861</c:v>
                </c:pt>
                <c:pt idx="7">
                  <c:v>43890</c:v>
                </c:pt>
                <c:pt idx="8">
                  <c:v>43921</c:v>
                </c:pt>
                <c:pt idx="9">
                  <c:v>43951</c:v>
                </c:pt>
                <c:pt idx="10">
                  <c:v>43982</c:v>
                </c:pt>
                <c:pt idx="11">
                  <c:v>44012</c:v>
                </c:pt>
                <c:pt idx="12">
                  <c:v>44043</c:v>
                </c:pt>
                <c:pt idx="13">
                  <c:v>44074</c:v>
                </c:pt>
                <c:pt idx="14">
                  <c:v>44104</c:v>
                </c:pt>
                <c:pt idx="15">
                  <c:v>44135</c:v>
                </c:pt>
                <c:pt idx="16">
                  <c:v>44165</c:v>
                </c:pt>
                <c:pt idx="17">
                  <c:v>44196</c:v>
                </c:pt>
                <c:pt idx="18">
                  <c:v>44227</c:v>
                </c:pt>
                <c:pt idx="19">
                  <c:v>44255</c:v>
                </c:pt>
                <c:pt idx="20">
                  <c:v>44286</c:v>
                </c:pt>
                <c:pt idx="21">
                  <c:v>44316</c:v>
                </c:pt>
                <c:pt idx="22">
                  <c:v>44347</c:v>
                </c:pt>
                <c:pt idx="23">
                  <c:v>44377</c:v>
                </c:pt>
                <c:pt idx="24">
                  <c:v>44408</c:v>
                </c:pt>
                <c:pt idx="25">
                  <c:v>44439</c:v>
                </c:pt>
                <c:pt idx="26">
                  <c:v>44469</c:v>
                </c:pt>
                <c:pt idx="27">
                  <c:v>44500</c:v>
                </c:pt>
                <c:pt idx="28">
                  <c:v>44530</c:v>
                </c:pt>
                <c:pt idx="29">
                  <c:v>44561</c:v>
                </c:pt>
                <c:pt idx="30">
                  <c:v>44592</c:v>
                </c:pt>
                <c:pt idx="31">
                  <c:v>44620</c:v>
                </c:pt>
                <c:pt idx="32">
                  <c:v>44651</c:v>
                </c:pt>
                <c:pt idx="33">
                  <c:v>44681</c:v>
                </c:pt>
                <c:pt idx="34">
                  <c:v>44712</c:v>
                </c:pt>
                <c:pt idx="35">
                  <c:v>44742</c:v>
                </c:pt>
                <c:pt idx="36">
                  <c:v>44773</c:v>
                </c:pt>
                <c:pt idx="37">
                  <c:v>44804</c:v>
                </c:pt>
                <c:pt idx="38">
                  <c:v>44834</c:v>
                </c:pt>
                <c:pt idx="39">
                  <c:v>44865</c:v>
                </c:pt>
                <c:pt idx="40">
                  <c:v>44895</c:v>
                </c:pt>
                <c:pt idx="41">
                  <c:v>44926</c:v>
                </c:pt>
                <c:pt idx="42">
                  <c:v>44957</c:v>
                </c:pt>
                <c:pt idx="43">
                  <c:v>44985</c:v>
                </c:pt>
                <c:pt idx="44">
                  <c:v>45016</c:v>
                </c:pt>
                <c:pt idx="45">
                  <c:v>45046</c:v>
                </c:pt>
                <c:pt idx="46">
                  <c:v>45077</c:v>
                </c:pt>
                <c:pt idx="47">
                  <c:v>45107</c:v>
                </c:pt>
                <c:pt idx="48">
                  <c:v>45138</c:v>
                </c:pt>
                <c:pt idx="49">
                  <c:v>45169</c:v>
                </c:pt>
                <c:pt idx="50">
                  <c:v>45199</c:v>
                </c:pt>
                <c:pt idx="51">
                  <c:v>45230</c:v>
                </c:pt>
                <c:pt idx="52">
                  <c:v>45260</c:v>
                </c:pt>
                <c:pt idx="53">
                  <c:v>45291</c:v>
                </c:pt>
                <c:pt idx="54">
                  <c:v>45322</c:v>
                </c:pt>
                <c:pt idx="55">
                  <c:v>45351</c:v>
                </c:pt>
                <c:pt idx="56">
                  <c:v>45382</c:v>
                </c:pt>
                <c:pt idx="57">
                  <c:v>45412</c:v>
                </c:pt>
                <c:pt idx="58">
                  <c:v>45443</c:v>
                </c:pt>
                <c:pt idx="59">
                  <c:v>45473</c:v>
                </c:pt>
                <c:pt idx="60">
                  <c:v>45504</c:v>
                </c:pt>
              </c:numCache>
            </c:numRef>
          </c:cat>
          <c:val>
            <c:numRef>
              <c:f>'Data for Charts'!$B$12:$AL$12</c:f>
              <c:numCache>
                <c:formatCode>0.0%</c:formatCode>
                <c:ptCount val="37"/>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7387-4CD7-874F-2928E758EADB}"/>
            </c:ext>
          </c:extLst>
        </c:ser>
        <c:dLbls>
          <c:showLegendKey val="0"/>
          <c:showVal val="0"/>
          <c:showCatName val="0"/>
          <c:showSerName val="0"/>
          <c:showPercent val="0"/>
          <c:showBubbleSize val="0"/>
        </c:dLbls>
        <c:smooth val="0"/>
        <c:axId val="459761536"/>
        <c:axId val="459763072"/>
      </c:lineChart>
      <c:dateAx>
        <c:axId val="459761536"/>
        <c:scaling>
          <c:orientation val="minMax"/>
        </c:scaling>
        <c:delete val="0"/>
        <c:axPos val="b"/>
        <c:numFmt formatCode="[$-416]mmm\-yy;@" sourceLinked="1"/>
        <c:majorTickMark val="out"/>
        <c:minorTickMark val="none"/>
        <c:tickLblPos val="nextTo"/>
        <c:crossAx val="459763072"/>
        <c:crosses val="autoZero"/>
        <c:auto val="1"/>
        <c:lblOffset val="100"/>
        <c:baseTimeUnit val="months"/>
      </c:dateAx>
      <c:valAx>
        <c:axId val="459763072"/>
        <c:scaling>
          <c:orientation val="minMax"/>
          <c:max val="1"/>
          <c:min val="0"/>
        </c:scaling>
        <c:delete val="0"/>
        <c:axPos val="l"/>
        <c:majorGridlines/>
        <c:numFmt formatCode="0%" sourceLinked="0"/>
        <c:majorTickMark val="out"/>
        <c:minorTickMark val="none"/>
        <c:tickLblPos val="nextTo"/>
        <c:crossAx val="459761536"/>
        <c:crosses val="autoZero"/>
        <c:crossBetween val="between"/>
      </c:valAx>
    </c:plotArea>
    <c:legend>
      <c:legendPos val="t"/>
      <c:layout>
        <c:manualLayout>
          <c:xMode val="edge"/>
          <c:yMode val="edge"/>
          <c:x val="0.23179610645978971"/>
          <c:y val="5.276762451123506E-2"/>
          <c:w val="0.53640778708042058"/>
          <c:h val="3.8167695344499444E-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9.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 Id="rId5" Type="http://schemas.openxmlformats.org/officeDocument/2006/relationships/image" Target="../media/image2.png"/><Relationship Id="rId4"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png"/><Relationship Id="rId1" Type="http://schemas.openxmlformats.org/officeDocument/2006/relationships/chart" Target="../charts/chart13.xml"/><Relationship Id="rId4"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47625</xdr:colOff>
      <xdr:row>20</xdr:row>
      <xdr:rowOff>0</xdr:rowOff>
    </xdr:from>
    <xdr:to>
      <xdr:col>4</xdr:col>
      <xdr:colOff>0</xdr:colOff>
      <xdr:row>20</xdr:row>
      <xdr:rowOff>0</xdr:rowOff>
    </xdr:to>
    <xdr:graphicFrame macro="">
      <xdr:nvGraphicFramePr>
        <xdr:cNvPr id="61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20</xdr:row>
      <xdr:rowOff>0</xdr:rowOff>
    </xdr:from>
    <xdr:to>
      <xdr:col>4</xdr:col>
      <xdr:colOff>0</xdr:colOff>
      <xdr:row>20</xdr:row>
      <xdr:rowOff>0</xdr:rowOff>
    </xdr:to>
    <xdr:graphicFrame macro="">
      <xdr:nvGraphicFramePr>
        <xdr:cNvPr id="614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409575</xdr:colOff>
      <xdr:row>20</xdr:row>
      <xdr:rowOff>0</xdr:rowOff>
    </xdr:from>
    <xdr:to>
      <xdr:col>3</xdr:col>
      <xdr:colOff>409575</xdr:colOff>
      <xdr:row>20</xdr:row>
      <xdr:rowOff>0</xdr:rowOff>
    </xdr:to>
    <xdr:sp macro="" textlink="">
      <xdr:nvSpPr>
        <xdr:cNvPr id="6150" name="Line 6"/>
        <xdr:cNvSpPr>
          <a:spLocks noChangeShapeType="1"/>
        </xdr:cNvSpPr>
      </xdr:nvSpPr>
      <xdr:spPr bwMode="auto">
        <a:xfrm flipV="1">
          <a:off x="2438400" y="99631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6151" name="Line 7"/>
        <xdr:cNvSpPr>
          <a:spLocks noChangeShapeType="1"/>
        </xdr:cNvSpPr>
      </xdr:nvSpPr>
      <xdr:spPr bwMode="auto">
        <a:xfrm flipV="1">
          <a:off x="6191250" y="9963150"/>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20</xdr:row>
      <xdr:rowOff>0</xdr:rowOff>
    </xdr:from>
    <xdr:to>
      <xdr:col>3</xdr:col>
      <xdr:colOff>0</xdr:colOff>
      <xdr:row>20</xdr:row>
      <xdr:rowOff>0</xdr:rowOff>
    </xdr:to>
    <xdr:pic>
      <xdr:nvPicPr>
        <xdr:cNvPr id="6153" name="Picture 9" descr="fil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0477500"/>
          <a:ext cx="1908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20</xdr:row>
      <xdr:rowOff>0</xdr:rowOff>
    </xdr:from>
    <xdr:to>
      <xdr:col>4</xdr:col>
      <xdr:colOff>0</xdr:colOff>
      <xdr:row>20</xdr:row>
      <xdr:rowOff>0</xdr:rowOff>
    </xdr:to>
    <xdr:graphicFrame macro="">
      <xdr:nvGraphicFramePr>
        <xdr:cNvPr id="6159"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20</xdr:row>
      <xdr:rowOff>0</xdr:rowOff>
    </xdr:from>
    <xdr:to>
      <xdr:col>4</xdr:col>
      <xdr:colOff>0</xdr:colOff>
      <xdr:row>20</xdr:row>
      <xdr:rowOff>0</xdr:rowOff>
    </xdr:to>
    <xdr:graphicFrame macro="">
      <xdr:nvGraphicFramePr>
        <xdr:cNvPr id="616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559</xdr:row>
      <xdr:rowOff>114300</xdr:rowOff>
    </xdr:from>
    <xdr:to>
      <xdr:col>4</xdr:col>
      <xdr:colOff>0</xdr:colOff>
      <xdr:row>559</xdr:row>
      <xdr:rowOff>114300</xdr:rowOff>
    </xdr:to>
    <xdr:sp macro="" textlink="">
      <xdr:nvSpPr>
        <xdr:cNvPr id="6170" name="Line 26"/>
        <xdr:cNvSpPr>
          <a:spLocks noChangeShapeType="1"/>
        </xdr:cNvSpPr>
      </xdr:nvSpPr>
      <xdr:spPr bwMode="auto">
        <a:xfrm flipV="1">
          <a:off x="2028825" y="92992575"/>
          <a:ext cx="4162425"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20</xdr:row>
      <xdr:rowOff>0</xdr:rowOff>
    </xdr:from>
    <xdr:to>
      <xdr:col>3</xdr:col>
      <xdr:colOff>409575</xdr:colOff>
      <xdr:row>20</xdr:row>
      <xdr:rowOff>0</xdr:rowOff>
    </xdr:to>
    <xdr:sp macro="" textlink="">
      <xdr:nvSpPr>
        <xdr:cNvPr id="6171" name="Line 27"/>
        <xdr:cNvSpPr>
          <a:spLocks noChangeShapeType="1"/>
        </xdr:cNvSpPr>
      </xdr:nvSpPr>
      <xdr:spPr bwMode="auto">
        <a:xfrm>
          <a:off x="2438400" y="9963150"/>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0</xdr:row>
      <xdr:rowOff>9524</xdr:rowOff>
    </xdr:from>
    <xdr:to>
      <xdr:col>2</xdr:col>
      <xdr:colOff>1210375</xdr:colOff>
      <xdr:row>3</xdr:row>
      <xdr:rowOff>9525</xdr:rowOff>
    </xdr:to>
    <xdr:pic>
      <xdr:nvPicPr>
        <xdr:cNvPr id="12" name="Picture 11"/>
        <xdr:cNvPicPr>
          <a:picLocks noChangeAspect="1"/>
        </xdr:cNvPicPr>
      </xdr:nvPicPr>
      <xdr:blipFill>
        <a:blip xmlns:r="http://schemas.openxmlformats.org/officeDocument/2006/relationships" r:embed="rId6"/>
        <a:stretch>
          <a:fillRect/>
        </a:stretch>
      </xdr:blipFill>
      <xdr:spPr>
        <a:xfrm>
          <a:off x="190500" y="9524"/>
          <a:ext cx="1496125" cy="54292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0.69363</cdr:x>
      <cdr:y>0.33163</cdr:y>
    </cdr:from>
    <cdr:to>
      <cdr:x>0.91384</cdr:x>
      <cdr:y>0.35121</cdr:y>
    </cdr:to>
    <cdr:sp macro="" textlink="">
      <cdr:nvSpPr>
        <cdr:cNvPr id="7169" name="Rectangle 1"/>
        <cdr:cNvSpPr>
          <a:spLocks xmlns:a="http://schemas.openxmlformats.org/drawingml/2006/main" noChangeArrowheads="1"/>
        </cdr:cNvSpPr>
      </cdr:nvSpPr>
      <cdr:spPr bwMode="auto">
        <a:xfrm xmlns:a="http://schemas.openxmlformats.org/drawingml/2006/main">
          <a:off x="4319629" y="246401"/>
          <a:ext cx="1370373" cy="1435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xml><?xml version="1.0" encoding="utf-8"?>
<c:userShapes xmlns:c="http://schemas.openxmlformats.org/drawingml/2006/chart">
  <cdr:relSizeAnchor xmlns:cdr="http://schemas.openxmlformats.org/drawingml/2006/chartDrawing">
    <cdr:from>
      <cdr:x>0.0384</cdr:x>
      <cdr:y>1</cdr:y>
    </cdr:from>
    <cdr:to>
      <cdr:x>0.99238</cdr:x>
      <cdr:y>1</cdr:y>
    </cdr:to>
    <cdr:sp macro="" textlink="">
      <cdr:nvSpPr>
        <cdr:cNvPr id="8193" name="Line 1"/>
        <cdr:cNvSpPr>
          <a:spLocks xmlns:a="http://schemas.openxmlformats.org/drawingml/2006/main" noChangeShapeType="1"/>
        </cdr:cNvSpPr>
      </cdr:nvSpPr>
      <cdr:spPr bwMode="auto">
        <a:xfrm xmlns:a="http://schemas.openxmlformats.org/drawingml/2006/main">
          <a:off x="243086" y="12402837"/>
          <a:ext cx="5960864"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4.xml><?xml version="1.0" encoding="utf-8"?>
<c:userShapes xmlns:c="http://schemas.openxmlformats.org/drawingml/2006/chart">
  <cdr:relSizeAnchor xmlns:cdr="http://schemas.openxmlformats.org/drawingml/2006/chartDrawing">
    <cdr:from>
      <cdr:x>0.70605</cdr:x>
      <cdr:y>0.47738</cdr:y>
    </cdr:from>
    <cdr:to>
      <cdr:x>0.91358</cdr:x>
      <cdr:y>0.53894</cdr:y>
    </cdr:to>
    <cdr:sp macro="" textlink="">
      <cdr:nvSpPr>
        <cdr:cNvPr id="9217" name="Rectangle 1"/>
        <cdr:cNvSpPr>
          <a:spLocks xmlns:a="http://schemas.openxmlformats.org/drawingml/2006/main" noChangeArrowheads="1"/>
        </cdr:cNvSpPr>
      </cdr:nvSpPr>
      <cdr:spPr bwMode="auto">
        <a:xfrm xmlns:a="http://schemas.openxmlformats.org/drawingml/2006/main">
          <a:off x="4401410" y="353295"/>
          <a:ext cx="1292762" cy="4515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5.xml><?xml version="1.0" encoding="utf-8"?>
<c:userShapes xmlns:c="http://schemas.openxmlformats.org/drawingml/2006/chart">
  <cdr:relSizeAnchor xmlns:cdr="http://schemas.openxmlformats.org/drawingml/2006/chartDrawing">
    <cdr:from>
      <cdr:x>0.02411</cdr:x>
      <cdr:y>1</cdr:y>
    </cdr:from>
    <cdr:to>
      <cdr:x>0.78288</cdr:x>
      <cdr:y>1</cdr:y>
    </cdr:to>
    <cdr:sp macro="" textlink="">
      <cdr:nvSpPr>
        <cdr:cNvPr id="10241" name="Line 1"/>
        <cdr:cNvSpPr>
          <a:spLocks xmlns:a="http://schemas.openxmlformats.org/drawingml/2006/main" noChangeShapeType="1"/>
        </cdr:cNvSpPr>
      </cdr:nvSpPr>
      <cdr:spPr bwMode="auto">
        <a:xfrm xmlns:a="http://schemas.openxmlformats.org/drawingml/2006/main">
          <a:off x="154025" y="10131572"/>
          <a:ext cx="4748341"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934150</xdr:colOff>
      <xdr:row>3</xdr:row>
      <xdr:rowOff>9526</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 y="9525"/>
          <a:ext cx="1496125" cy="5429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0</xdr:row>
      <xdr:rowOff>11205</xdr:rowOff>
    </xdr:from>
    <xdr:to>
      <xdr:col>0</xdr:col>
      <xdr:colOff>1507331</xdr:colOff>
      <xdr:row>3</xdr:row>
      <xdr:rowOff>16249</xdr:rowOff>
    </xdr:to>
    <xdr:pic>
      <xdr:nvPicPr>
        <xdr:cNvPr id="5" name="Picture 4"/>
        <xdr:cNvPicPr>
          <a:picLocks noChangeAspect="1"/>
        </xdr:cNvPicPr>
      </xdr:nvPicPr>
      <xdr:blipFill>
        <a:blip xmlns:r="http://schemas.openxmlformats.org/officeDocument/2006/relationships" r:embed="rId2"/>
        <a:stretch>
          <a:fillRect/>
        </a:stretch>
      </xdr:blipFill>
      <xdr:spPr>
        <a:xfrm>
          <a:off x="11206" y="11205"/>
          <a:ext cx="1496125" cy="5429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51</xdr:row>
      <xdr:rowOff>0</xdr:rowOff>
    </xdr:from>
    <xdr:to>
      <xdr:col>5</xdr:col>
      <xdr:colOff>0</xdr:colOff>
      <xdr:row>51</xdr:row>
      <xdr:rowOff>0</xdr:rowOff>
    </xdr:to>
    <xdr:graphicFrame macro="">
      <xdr:nvGraphicFramePr>
        <xdr:cNvPr id="1638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0</xdr:rowOff>
    </xdr:from>
    <xdr:to>
      <xdr:col>5</xdr:col>
      <xdr:colOff>0</xdr:colOff>
      <xdr:row>51</xdr:row>
      <xdr:rowOff>0</xdr:rowOff>
    </xdr:to>
    <xdr:graphicFrame macro="">
      <xdr:nvGraphicFramePr>
        <xdr:cNvPr id="1638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0</xdr:rowOff>
    </xdr:from>
    <xdr:to>
      <xdr:col>5</xdr:col>
      <xdr:colOff>0</xdr:colOff>
      <xdr:row>51</xdr:row>
      <xdr:rowOff>0</xdr:rowOff>
    </xdr:to>
    <xdr:graphicFrame macro="">
      <xdr:nvGraphicFramePr>
        <xdr:cNvPr id="16399"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5</xdr:col>
      <xdr:colOff>0</xdr:colOff>
      <xdr:row>51</xdr:row>
      <xdr:rowOff>0</xdr:rowOff>
    </xdr:to>
    <xdr:graphicFrame macro="">
      <xdr:nvGraphicFramePr>
        <xdr:cNvPr id="1640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6407" name="Picture 23" descr="fil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0"/>
          <a:ext cx="1952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650</xdr:row>
      <xdr:rowOff>114300</xdr:rowOff>
    </xdr:from>
    <xdr:to>
      <xdr:col>5</xdr:col>
      <xdr:colOff>0</xdr:colOff>
      <xdr:row>650</xdr:row>
      <xdr:rowOff>114300</xdr:rowOff>
    </xdr:to>
    <xdr:sp macro="" textlink="">
      <xdr:nvSpPr>
        <xdr:cNvPr id="16410" name="Line 26"/>
        <xdr:cNvSpPr>
          <a:spLocks noChangeShapeType="1"/>
        </xdr:cNvSpPr>
      </xdr:nvSpPr>
      <xdr:spPr bwMode="auto">
        <a:xfrm flipV="1">
          <a:off x="2076450" y="112814100"/>
          <a:ext cx="4429125"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16412" name="Picture 28" descr="fil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770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11203</xdr:colOff>
      <xdr:row>0</xdr:row>
      <xdr:rowOff>11206</xdr:rowOff>
    </xdr:from>
    <xdr:to>
      <xdr:col>1</xdr:col>
      <xdr:colOff>1103916</xdr:colOff>
      <xdr:row>3</xdr:row>
      <xdr:rowOff>16250</xdr:rowOff>
    </xdr:to>
    <xdr:pic>
      <xdr:nvPicPr>
        <xdr:cNvPr id="10" name="Picture 9"/>
        <xdr:cNvPicPr>
          <a:picLocks noChangeAspect="1"/>
        </xdr:cNvPicPr>
      </xdr:nvPicPr>
      <xdr:blipFill>
        <a:blip xmlns:r="http://schemas.openxmlformats.org/officeDocument/2006/relationships" r:embed="rId6"/>
        <a:stretch>
          <a:fillRect/>
        </a:stretch>
      </xdr:blipFill>
      <xdr:spPr>
        <a:xfrm>
          <a:off x="11203" y="11206"/>
          <a:ext cx="1496125" cy="54292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0.69339</cdr:x>
      <cdr:y>0.33163</cdr:y>
    </cdr:from>
    <cdr:to>
      <cdr:x>0.91749</cdr:x>
      <cdr:y>0.35121</cdr:y>
    </cdr:to>
    <cdr:sp macro="" textlink="">
      <cdr:nvSpPr>
        <cdr:cNvPr id="17409" name="Rectangle 1"/>
        <cdr:cNvSpPr>
          <a:spLocks xmlns:a="http://schemas.openxmlformats.org/drawingml/2006/main" noChangeArrowheads="1"/>
        </cdr:cNvSpPr>
      </cdr:nvSpPr>
      <cdr:spPr bwMode="auto">
        <a:xfrm xmlns:a="http://schemas.openxmlformats.org/drawingml/2006/main">
          <a:off x="6951191" y="246401"/>
          <a:ext cx="2245543" cy="14359"/>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0.xml><?xml version="1.0" encoding="utf-8"?>
<c:userShapes xmlns:c="http://schemas.openxmlformats.org/drawingml/2006/chart">
  <cdr:relSizeAnchor xmlns:cdr="http://schemas.openxmlformats.org/drawingml/2006/chartDrawing">
    <cdr:from>
      <cdr:x>0.02975</cdr:x>
      <cdr:y>1</cdr:y>
    </cdr:from>
    <cdr:to>
      <cdr:x>0.99526</cdr:x>
      <cdr:y>1</cdr:y>
    </cdr:to>
    <cdr:sp macro="" textlink="">
      <cdr:nvSpPr>
        <cdr:cNvPr id="18433" name="Line 1"/>
        <cdr:cNvSpPr>
          <a:spLocks xmlns:a="http://schemas.openxmlformats.org/drawingml/2006/main" noChangeShapeType="1"/>
        </cdr:cNvSpPr>
      </cdr:nvSpPr>
      <cdr:spPr bwMode="auto">
        <a:xfrm xmlns:a="http://schemas.openxmlformats.org/drawingml/2006/main">
          <a:off x="302129" y="28021372"/>
          <a:ext cx="9702296"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1.xml><?xml version="1.0" encoding="utf-8"?>
<c:userShapes xmlns:c="http://schemas.openxmlformats.org/drawingml/2006/chart">
  <cdr:relSizeAnchor xmlns:cdr="http://schemas.openxmlformats.org/drawingml/2006/chartDrawing">
    <cdr:from>
      <cdr:x>0.70503</cdr:x>
      <cdr:y>0.47738</cdr:y>
    </cdr:from>
    <cdr:to>
      <cdr:x>0.91552</cdr:x>
      <cdr:y>0.53894</cdr:y>
    </cdr:to>
    <cdr:sp macro="" textlink="">
      <cdr:nvSpPr>
        <cdr:cNvPr id="19457" name="Rectangle 1"/>
        <cdr:cNvSpPr>
          <a:spLocks xmlns:a="http://schemas.openxmlformats.org/drawingml/2006/main" noChangeArrowheads="1"/>
        </cdr:cNvSpPr>
      </cdr:nvSpPr>
      <cdr:spPr bwMode="auto">
        <a:xfrm xmlns:a="http://schemas.openxmlformats.org/drawingml/2006/main">
          <a:off x="7074545" y="353295"/>
          <a:ext cx="2111097" cy="4515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2.xml><?xml version="1.0" encoding="utf-8"?>
<c:userShapes xmlns:c="http://schemas.openxmlformats.org/drawingml/2006/chart">
  <cdr:relSizeAnchor xmlns:cdr="http://schemas.openxmlformats.org/drawingml/2006/chartDrawing">
    <cdr:from>
      <cdr:x>0.01439</cdr:x>
      <cdr:y>1</cdr:y>
    </cdr:from>
    <cdr:to>
      <cdr:x>0.78304</cdr:x>
      <cdr:y>1</cdr:y>
    </cdr:to>
    <cdr:sp macro="" textlink="">
      <cdr:nvSpPr>
        <cdr:cNvPr id="20481" name="Line 1"/>
        <cdr:cNvSpPr>
          <a:spLocks xmlns:a="http://schemas.openxmlformats.org/drawingml/2006/main" noChangeShapeType="1"/>
        </cdr:cNvSpPr>
      </cdr:nvSpPr>
      <cdr:spPr bwMode="auto">
        <a:xfrm xmlns:a="http://schemas.openxmlformats.org/drawingml/2006/main">
          <a:off x="147941" y="22721488"/>
          <a:ext cx="7731404"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741</xdr:row>
      <xdr:rowOff>114300</xdr:rowOff>
    </xdr:from>
    <xdr:to>
      <xdr:col>7</xdr:col>
      <xdr:colOff>0</xdr:colOff>
      <xdr:row>741</xdr:row>
      <xdr:rowOff>114300</xdr:rowOff>
    </xdr:to>
    <xdr:sp macro="" textlink="">
      <xdr:nvSpPr>
        <xdr:cNvPr id="20" name="Line 26"/>
        <xdr:cNvSpPr>
          <a:spLocks noChangeShapeType="1"/>
        </xdr:cNvSpPr>
      </xdr:nvSpPr>
      <xdr:spPr bwMode="auto">
        <a:xfrm flipV="1">
          <a:off x="1657350" y="125044200"/>
          <a:ext cx="230505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11205</xdr:colOff>
      <xdr:row>0</xdr:row>
      <xdr:rowOff>11206</xdr:rowOff>
    </xdr:from>
    <xdr:to>
      <xdr:col>1</xdr:col>
      <xdr:colOff>1305624</xdr:colOff>
      <xdr:row>3</xdr:row>
      <xdr:rowOff>16250</xdr:rowOff>
    </xdr:to>
    <xdr:pic>
      <xdr:nvPicPr>
        <xdr:cNvPr id="13" name="Picture 12"/>
        <xdr:cNvPicPr>
          <a:picLocks noChangeAspect="1"/>
        </xdr:cNvPicPr>
      </xdr:nvPicPr>
      <xdr:blipFill>
        <a:blip xmlns:r="http://schemas.openxmlformats.org/officeDocument/2006/relationships" r:embed="rId2"/>
        <a:stretch>
          <a:fillRect/>
        </a:stretch>
      </xdr:blipFill>
      <xdr:spPr>
        <a:xfrm>
          <a:off x="11205" y="11206"/>
          <a:ext cx="1496125" cy="5429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795</xdr:row>
      <xdr:rowOff>114300</xdr:rowOff>
    </xdr:from>
    <xdr:to>
      <xdr:col>7</xdr:col>
      <xdr:colOff>0</xdr:colOff>
      <xdr:row>795</xdr:row>
      <xdr:rowOff>114300</xdr:rowOff>
    </xdr:to>
    <xdr:sp macro="" textlink="">
      <xdr:nvSpPr>
        <xdr:cNvPr id="9" name="Line 26"/>
        <xdr:cNvSpPr>
          <a:spLocks noChangeShapeType="1"/>
        </xdr:cNvSpPr>
      </xdr:nvSpPr>
      <xdr:spPr bwMode="auto">
        <a:xfrm flipV="1">
          <a:off x="2352675" y="14706600"/>
          <a:ext cx="554355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0</xdr:row>
      <xdr:rowOff>9525</xdr:rowOff>
    </xdr:from>
    <xdr:to>
      <xdr:col>1</xdr:col>
      <xdr:colOff>1315150</xdr:colOff>
      <xdr:row>3</xdr:row>
      <xdr:rowOff>9526</xdr:rowOff>
    </xdr:to>
    <xdr:pic>
      <xdr:nvPicPr>
        <xdr:cNvPr id="13" name="Picture 12"/>
        <xdr:cNvPicPr>
          <a:picLocks noChangeAspect="1"/>
        </xdr:cNvPicPr>
      </xdr:nvPicPr>
      <xdr:blipFill>
        <a:blip xmlns:r="http://schemas.openxmlformats.org/officeDocument/2006/relationships" r:embed="rId3"/>
        <a:stretch>
          <a:fillRect/>
        </a:stretch>
      </xdr:blipFill>
      <xdr:spPr>
        <a:xfrm>
          <a:off x="19050" y="9525"/>
          <a:ext cx="1496125" cy="5429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11206</xdr:colOff>
      <xdr:row>0</xdr:row>
      <xdr:rowOff>22412</xdr:rowOff>
    </xdr:from>
    <xdr:to>
      <xdr:col>1</xdr:col>
      <xdr:colOff>1440096</xdr:colOff>
      <xdr:row>3</xdr:row>
      <xdr:rowOff>11206</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06" y="22412"/>
          <a:ext cx="1496125" cy="5266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22412</xdr:rowOff>
    </xdr:from>
    <xdr:to>
      <xdr:col>1</xdr:col>
      <xdr:colOff>1384066</xdr:colOff>
      <xdr:row>3</xdr:row>
      <xdr:rowOff>11206</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22412"/>
          <a:ext cx="1496125" cy="5266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826</xdr:row>
      <xdr:rowOff>114300</xdr:rowOff>
    </xdr:from>
    <xdr:to>
      <xdr:col>4</xdr:col>
      <xdr:colOff>38100</xdr:colOff>
      <xdr:row>826</xdr:row>
      <xdr:rowOff>114300</xdr:rowOff>
    </xdr:to>
    <xdr:sp macro="" textlink="">
      <xdr:nvSpPr>
        <xdr:cNvPr id="31770" name="Line 26"/>
        <xdr:cNvSpPr>
          <a:spLocks noChangeShapeType="1"/>
        </xdr:cNvSpPr>
      </xdr:nvSpPr>
      <xdr:spPr bwMode="auto">
        <a:xfrm flipV="1">
          <a:off x="2619375" y="133502400"/>
          <a:ext cx="87630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11205</xdr:colOff>
      <xdr:row>0</xdr:row>
      <xdr:rowOff>11206</xdr:rowOff>
    </xdr:from>
    <xdr:to>
      <xdr:col>1</xdr:col>
      <xdr:colOff>1428889</xdr:colOff>
      <xdr:row>3</xdr:row>
      <xdr:rowOff>0</xdr:rowOff>
    </xdr:to>
    <xdr:pic>
      <xdr:nvPicPr>
        <xdr:cNvPr id="10" name="Picture 9"/>
        <xdr:cNvPicPr>
          <a:picLocks noChangeAspect="1"/>
        </xdr:cNvPicPr>
      </xdr:nvPicPr>
      <xdr:blipFill>
        <a:blip xmlns:r="http://schemas.openxmlformats.org/officeDocument/2006/relationships" r:embed="rId2"/>
        <a:stretch>
          <a:fillRect/>
        </a:stretch>
      </xdr:blipFill>
      <xdr:spPr>
        <a:xfrm>
          <a:off x="11205" y="11206"/>
          <a:ext cx="1496125" cy="5266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755</xdr:row>
      <xdr:rowOff>114300</xdr:rowOff>
    </xdr:from>
    <xdr:to>
      <xdr:col>3</xdr:col>
      <xdr:colOff>38100</xdr:colOff>
      <xdr:row>755</xdr:row>
      <xdr:rowOff>114300</xdr:rowOff>
    </xdr:to>
    <xdr:sp macro="" textlink="">
      <xdr:nvSpPr>
        <xdr:cNvPr id="36890" name="Line 26"/>
        <xdr:cNvSpPr>
          <a:spLocks noChangeShapeType="1"/>
        </xdr:cNvSpPr>
      </xdr:nvSpPr>
      <xdr:spPr bwMode="auto">
        <a:xfrm flipV="1">
          <a:off x="2714625" y="120586500"/>
          <a:ext cx="120015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0</xdr:row>
      <xdr:rowOff>22408</xdr:rowOff>
    </xdr:from>
    <xdr:to>
      <xdr:col>1</xdr:col>
      <xdr:colOff>1406478</xdr:colOff>
      <xdr:row>3</xdr:row>
      <xdr:rowOff>11202</xdr:rowOff>
    </xdr:to>
    <xdr:pic>
      <xdr:nvPicPr>
        <xdr:cNvPr id="11" name="Picture 10"/>
        <xdr:cNvPicPr>
          <a:picLocks noChangeAspect="1"/>
        </xdr:cNvPicPr>
      </xdr:nvPicPr>
      <xdr:blipFill>
        <a:blip xmlns:r="http://schemas.openxmlformats.org/officeDocument/2006/relationships" r:embed="rId2"/>
        <a:stretch>
          <a:fillRect/>
        </a:stretch>
      </xdr:blipFill>
      <xdr:spPr>
        <a:xfrm>
          <a:off x="11206" y="22408"/>
          <a:ext cx="1496125" cy="5266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0</xdr:col>
      <xdr:colOff>1507331</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06" y="0"/>
          <a:ext cx="1496125" cy="5602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72978</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35</xdr:row>
      <xdr:rowOff>0</xdr:rowOff>
    </xdr:from>
    <xdr:to>
      <xdr:col>1</xdr:col>
      <xdr:colOff>0</xdr:colOff>
      <xdr:row>35</xdr:row>
      <xdr:rowOff>0</xdr:rowOff>
    </xdr:to>
    <xdr:graphicFrame macro="">
      <xdr:nvGraphicFramePr>
        <xdr:cNvPr id="4710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47113" name="Picture 9"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16" name="Picture 12"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35</xdr:row>
      <xdr:rowOff>0</xdr:rowOff>
    </xdr:from>
    <xdr:to>
      <xdr:col>1</xdr:col>
      <xdr:colOff>0</xdr:colOff>
      <xdr:row>35</xdr:row>
      <xdr:rowOff>0</xdr:rowOff>
    </xdr:to>
    <xdr:graphicFrame macro="">
      <xdr:nvGraphicFramePr>
        <xdr:cNvPr id="47121"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47122" name="Picture 18"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3" name="Picture 19"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4" name="Picture 20"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5" name="Picture 21"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27" name="Picture 23"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7132" name="Picture 28"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6</xdr:row>
      <xdr:rowOff>0</xdr:rowOff>
    </xdr:from>
    <xdr:to>
      <xdr:col>0</xdr:col>
      <xdr:colOff>6179654</xdr:colOff>
      <xdr:row>33</xdr:row>
      <xdr:rowOff>66675</xdr:rowOff>
    </xdr:to>
    <xdr:graphicFrame macro="">
      <xdr:nvGraphicFramePr>
        <xdr:cNvPr id="15"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0</xdr:col>
      <xdr:colOff>0</xdr:colOff>
      <xdr:row>0</xdr:row>
      <xdr:rowOff>0</xdr:rowOff>
    </xdr:from>
    <xdr:to>
      <xdr:col>0</xdr:col>
      <xdr:colOff>1496125</xdr:colOff>
      <xdr:row>3</xdr:row>
      <xdr:rowOff>17369</xdr:rowOff>
    </xdr:to>
    <xdr:pic>
      <xdr:nvPicPr>
        <xdr:cNvPr id="17" name="Picture 16"/>
        <xdr:cNvPicPr>
          <a:picLocks noChangeAspect="1"/>
        </xdr:cNvPicPr>
      </xdr:nvPicPr>
      <xdr:blipFill>
        <a:blip xmlns:r="http://schemas.openxmlformats.org/officeDocument/2006/relationships" r:embed="rId5"/>
        <a:stretch>
          <a:fillRect/>
        </a:stretch>
      </xdr:blipFill>
      <xdr:spPr>
        <a:xfrm>
          <a:off x="0" y="0"/>
          <a:ext cx="1496125" cy="56029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3.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4.xml><?xml version="1.0" encoding="utf-8"?>
<c:userShapes xmlns:c="http://schemas.openxmlformats.org/drawingml/2006/chart">
  <cdr:relSizeAnchor xmlns:cdr="http://schemas.openxmlformats.org/drawingml/2006/chartDrawing">
    <cdr:from>
      <cdr:x>0.61292</cdr:x>
      <cdr:y>0.18365</cdr:y>
    </cdr:from>
    <cdr:to>
      <cdr:x>1</cdr:x>
      <cdr:y>0.2865</cdr:y>
    </cdr:to>
    <cdr:sp macro="" textlink="">
      <cdr:nvSpPr>
        <cdr:cNvPr id="50177" name="Rectangle 1"/>
        <cdr:cNvSpPr>
          <a:spLocks xmlns:a="http://schemas.openxmlformats.org/drawingml/2006/main" noChangeArrowheads="1"/>
        </cdr:cNvSpPr>
      </cdr:nvSpPr>
      <cdr:spPr bwMode="auto">
        <a:xfrm xmlns:a="http://schemas.openxmlformats.org/drawingml/2006/main">
          <a:off x="3747021" y="790139"/>
          <a:ext cx="2366373" cy="442512"/>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The dark blue bars project the amortisation for the senior quota assuming, among other things, annual prepayments of 15% and 2,50% of Net Losses</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graphicFrame macro="">
      <xdr:nvGraphicFramePr>
        <xdr:cNvPr id="24883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sp macro="" textlink="">
      <xdr:nvSpPr>
        <xdr:cNvPr id="248834" name="Line 2"/>
        <xdr:cNvSpPr>
          <a:spLocks noChangeShapeType="1"/>
        </xdr:cNvSpPr>
      </xdr:nvSpPr>
      <xdr:spPr bwMode="auto">
        <a:xfrm>
          <a:off x="1076325" y="11934825"/>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48835" name="Line 3"/>
        <xdr:cNvSpPr>
          <a:spLocks noChangeShapeType="1"/>
        </xdr:cNvSpPr>
      </xdr:nvSpPr>
      <xdr:spPr bwMode="auto">
        <a:xfrm flipV="1">
          <a:off x="1076325" y="11934825"/>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48836" name="Line 4"/>
        <xdr:cNvSpPr>
          <a:spLocks noChangeShapeType="1"/>
        </xdr:cNvSpPr>
      </xdr:nvSpPr>
      <xdr:spPr bwMode="auto">
        <a:xfrm flipV="1">
          <a:off x="1076325" y="11934825"/>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48837" name="Line 5"/>
        <xdr:cNvSpPr>
          <a:spLocks noChangeShapeType="1"/>
        </xdr:cNvSpPr>
      </xdr:nvSpPr>
      <xdr:spPr bwMode="auto">
        <a:xfrm flipV="1">
          <a:off x="1076325" y="11934825"/>
          <a:ext cx="0" cy="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248838" name="Picture 6"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39" name="Picture 7"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0</xdr:col>
      <xdr:colOff>0</xdr:colOff>
      <xdr:row>44</xdr:row>
      <xdr:rowOff>0</xdr:rowOff>
    </xdr:to>
    <xdr:graphicFrame macro="">
      <xdr:nvGraphicFramePr>
        <xdr:cNvPr id="248841"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248842" name="Picture 10"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3" name="Picture 11"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4" name="Picture 12"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5" name="Picture 13"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248846" name="Picture 14"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0"/>
          <a:ext cx="762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684</xdr:row>
      <xdr:rowOff>114300</xdr:rowOff>
    </xdr:from>
    <xdr:to>
      <xdr:col>0</xdr:col>
      <xdr:colOff>0</xdr:colOff>
      <xdr:row>684</xdr:row>
      <xdr:rowOff>114300</xdr:rowOff>
    </xdr:to>
    <xdr:sp macro="" textlink="">
      <xdr:nvSpPr>
        <xdr:cNvPr id="248847" name="Line 15"/>
        <xdr:cNvSpPr>
          <a:spLocks noChangeShapeType="1"/>
        </xdr:cNvSpPr>
      </xdr:nvSpPr>
      <xdr:spPr bwMode="auto">
        <a:xfrm flipV="1">
          <a:off x="1076325" y="127577850"/>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48848" name="Line 16"/>
        <xdr:cNvSpPr>
          <a:spLocks noChangeShapeType="1"/>
        </xdr:cNvSpPr>
      </xdr:nvSpPr>
      <xdr:spPr bwMode="auto">
        <a:xfrm>
          <a:off x="1076325" y="11934825"/>
          <a:ext cx="0" cy="0"/>
        </a:xfrm>
        <a:prstGeom prst="line">
          <a:avLst/>
        </a:prstGeom>
        <a:noFill/>
        <a:ln w="28575" cap="rnd">
          <a:solidFill>
            <a:srgbClr val="0000FF"/>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248849" name="Picture 17" descr="fi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448235</xdr:colOff>
      <xdr:row>3</xdr:row>
      <xdr:rowOff>22412</xdr:rowOff>
    </xdr:to>
    <xdr:pic>
      <xdr:nvPicPr>
        <xdr:cNvPr id="20" name="Picture 19"/>
        <xdr:cNvPicPr>
          <a:picLocks noChangeAspect="1"/>
        </xdr:cNvPicPr>
      </xdr:nvPicPr>
      <xdr:blipFill>
        <a:blip xmlns:r="http://schemas.openxmlformats.org/officeDocument/2006/relationships" r:embed="rId4"/>
        <a:stretch>
          <a:fillRect/>
        </a:stretch>
      </xdr:blipFill>
      <xdr:spPr>
        <a:xfrm>
          <a:off x="0" y="0"/>
          <a:ext cx="1490382" cy="560294"/>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7.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val="0000FF"/>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8.xml><?xml version="1.0" encoding="utf-8"?>
<xdr:wsDr xmlns:xdr="http://schemas.openxmlformats.org/drawingml/2006/spreadsheetDrawing" xmlns:a="http://schemas.openxmlformats.org/drawingml/2006/main">
  <xdr:twoCellAnchor>
    <xdr:from>
      <xdr:col>0</xdr:col>
      <xdr:colOff>112059</xdr:colOff>
      <xdr:row>6</xdr:row>
      <xdr:rowOff>22412</xdr:rowOff>
    </xdr:from>
    <xdr:to>
      <xdr:col>0</xdr:col>
      <xdr:colOff>10174941</xdr:colOff>
      <xdr:row>42</xdr:row>
      <xdr:rowOff>70827</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1496125</xdr:colOff>
      <xdr:row>3</xdr:row>
      <xdr:rowOff>22412</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0"/>
          <a:ext cx="1496125" cy="560294"/>
        </a:xfrm>
        <a:prstGeom prst="rect">
          <a:avLst/>
        </a:prstGeom>
      </xdr:spPr>
    </xdr:pic>
    <xdr:clientData/>
  </xdr:twoCellAnchor>
</xdr:wsDr>
</file>

<file path=xl/drawings/drawing29.xml><?xml version="1.0" encoding="utf-8"?>
<c:userShapes xmlns:c="http://schemas.openxmlformats.org/drawingml/2006/chart">
  <cdr:relSizeAnchor xmlns:cdr="http://schemas.openxmlformats.org/drawingml/2006/chartDrawing">
    <cdr:from>
      <cdr:x>0.55315</cdr:x>
      <cdr:y>0.13692</cdr:y>
    </cdr:from>
    <cdr:to>
      <cdr:x>0.92321</cdr:x>
      <cdr:y>0.22103</cdr:y>
    </cdr:to>
    <cdr:sp macro="" textlink="">
      <cdr:nvSpPr>
        <cdr:cNvPr id="2" name="Rectangle 1"/>
        <cdr:cNvSpPr>
          <a:spLocks xmlns:a="http://schemas.openxmlformats.org/drawingml/2006/main" noChangeArrowheads="1"/>
        </cdr:cNvSpPr>
      </cdr:nvSpPr>
      <cdr:spPr bwMode="auto">
        <a:xfrm xmlns:a="http://schemas.openxmlformats.org/drawingml/2006/main">
          <a:off x="5566264" y="776824"/>
          <a:ext cx="3723870" cy="477221"/>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 no assumptions on prepayments or defaults are made.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1496125</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77930</xdr:colOff>
      <xdr:row>21</xdr:row>
      <xdr:rowOff>48491</xdr:rowOff>
    </xdr:from>
    <xdr:to>
      <xdr:col>17</xdr:col>
      <xdr:colOff>1489363</xdr:colOff>
      <xdr:row>59</xdr:row>
      <xdr:rowOff>103909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129008</xdr:colOff>
      <xdr:row>3</xdr:row>
      <xdr:rowOff>22412</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1496125" cy="560294"/>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0.347</cdr:x>
      <cdr:y>0</cdr:y>
    </cdr:from>
    <cdr:to>
      <cdr:x>0.64739</cdr:x>
      <cdr:y>0.06932</cdr:y>
    </cdr:to>
    <cdr:sp macro="" textlink="">
      <cdr:nvSpPr>
        <cdr:cNvPr id="2" name="Textfeld 1"/>
        <cdr:cNvSpPr txBox="1"/>
      </cdr:nvSpPr>
      <cdr:spPr>
        <a:xfrm xmlns:a="http://schemas.openxmlformats.org/drawingml/2006/main">
          <a:off x="5953043" y="0"/>
          <a:ext cx="5153400" cy="4170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400" b="1"/>
            <a:t>Delinquency</a:t>
          </a:r>
          <a:r>
            <a:rPr lang="de-DE" sz="1400" b="1" baseline="0"/>
            <a:t> Performance - Historical Data (by Bucket)</a:t>
          </a:r>
          <a:endParaRPr lang="de-DE" sz="1400" b="1"/>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252272</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117801</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117802</xdr:colOff>
      <xdr:row>3</xdr:row>
      <xdr:rowOff>22412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22411</xdr:rowOff>
    </xdr:from>
    <xdr:to>
      <xdr:col>2</xdr:col>
      <xdr:colOff>117802</xdr:colOff>
      <xdr:row>3</xdr:row>
      <xdr:rowOff>44823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2411"/>
          <a:ext cx="1496125" cy="5602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22412</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117801</xdr:colOff>
      <xdr:row>3</xdr:row>
      <xdr:rowOff>44823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1496125" cy="56029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11202</xdr:colOff>
      <xdr:row>0</xdr:row>
      <xdr:rowOff>11203</xdr:rowOff>
    </xdr:from>
    <xdr:to>
      <xdr:col>0</xdr:col>
      <xdr:colOff>1507327</xdr:colOff>
      <xdr:row>3</xdr:row>
      <xdr:rowOff>33615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02" y="11203"/>
          <a:ext cx="1496125" cy="5602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2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RWABO\ABS%20Operations\_FSA_Archiv\VCL\VCL%2014\2012_11_Reporting\MR%20&amp;%20IR%20Draft\2012_11_Draft_Monthly%20Report_VCL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2.16.35\tesou\Risco\FIDC\Driver%20Brazil\DB3%20THREE\Monthly%20Investor%20Report%20Three\Official\Fluxo%20de%20Amortiza&#231;&#245;es%20-%20Driver%20Two%20-%202016050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RWM\Middle%20Office\monthy%20reporting\VCL%205\ABS5a_2003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_EINGABEN"/>
      <sheetName val="K 1"/>
      <sheetName val="K 2"/>
      <sheetName val="K3"/>
      <sheetName val="DIFF_Erklaerung. (2)"/>
      <sheetName val="FEHLER_Prüfungen"/>
      <sheetName val="EDV Ergebnis"/>
      <sheetName val="Proberechnung Investoren"/>
      <sheetName val="Proberechnung"/>
      <sheetName val="Kontrolle"/>
      <sheetName val="DIFF 12.02"/>
      <sheetName val="KONTROLLE EDV"/>
      <sheetName val="ABS DATEIEN"/>
      <sheetName val="Monthly Übersicht"/>
      <sheetName val="Engl.Version Übersicht "/>
      <sheetName val="Monthly Abwicklung"/>
      <sheetName val="Engl.Version Abwicklung "/>
      <sheetName val="Monthly Abwicklung-Insolvenzen"/>
      <sheetName val="Engl.Version Insolvenzen "/>
      <sheetName val="ABN-Überweisung Ausschüttung"/>
      <sheetName val="BB"/>
      <sheetName val="Monate-englisch"/>
      <sheetName val="Unterschriftsberechtigungen"/>
      <sheetName val="Abstimmung Bardepotkonto"/>
      <sheetName val="Geldanlage Bardepot lt. ABN AMR"/>
      <sheetName val="Mitteilung an AGL"/>
      <sheetName val="ABS5a_2002_12"/>
    </sheetNames>
    <definedNames>
      <definedName name="AGL_löschen" refersTo="#REF!"/>
      <definedName name="Druck_Überweisung" refersTo="#REF!"/>
      <definedName name="Einpacken_AGL" refersTo="#REF!"/>
      <definedName name="Einpacken_AGL_EURO" refersTo="#REF!"/>
      <definedName name="Einpacken_Deutsche_Bank" refersTo="#REF!"/>
      <definedName name="Einpacken_HB" refersTo="#REF!"/>
      <definedName name="Einpacken_Investoren" refersTo="#REF!"/>
      <definedName name="HB_löschen" refersTo="#REF!"/>
      <definedName name="Investoren_löschen" refersTo="#REF!"/>
      <definedName name="Kontrolle" refersTo="#REF!"/>
      <definedName name="KU_Druck_löschen" refersTo="#REF!"/>
      <definedName name="MSR_Deutsche_löschen" refersTo="#REF!"/>
      <definedName name="MSR_Report" refersTo="#REF!"/>
      <definedName name="MSR_Report_Druck" refersTo="#REF!"/>
      <definedName name="MSR_Report_Druck_löschen" refersTo="#REF!"/>
      <definedName name="Überweisung_Work" refersTo="#REF!"/>
      <definedName name="Überweisungs_Druck_löschen"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in"/>
      <sheetName val="To Do Liste"/>
      <sheetName val="Validation"/>
      <sheetName val="E-Mail-Sheet"/>
      <sheetName val="Asset Development"/>
      <sheetName val="Collections II."/>
      <sheetName val="Plausi"/>
      <sheetName val="Outstanding Contracts"/>
      <sheetName val="ROS"/>
      <sheetName val="Status I."/>
      <sheetName val="Status II."/>
      <sheetName val="Early Settlements"/>
      <sheetName val="Reasons for Early Settlements"/>
      <sheetName val="Collections I."/>
      <sheetName val="Contracts in Arrears"/>
      <sheetName val="Change Delinquencies"/>
      <sheetName val="Write-Offs"/>
      <sheetName val="Terminated Contracts"/>
      <sheetName val="Interest"/>
      <sheetName val="Notes"/>
      <sheetName val="Cash Collateral Account"/>
      <sheetName val="Waterfall"/>
      <sheetName val="Input"/>
      <sheetName val="Waterfall+"/>
      <sheetName val="Invoices"/>
      <sheetName val="Charts"/>
      <sheetName val="Bilanzierung (Monatsanfang)"/>
      <sheetName val="Bilanzierung (Gesamtmonat)"/>
      <sheetName val="RLZ Notes &amp; Loan"/>
      <sheetName val="Buchungen inkl. Zahlung"/>
      <sheetName val="Überweisung"/>
      <sheetName val="BB_ZA"/>
      <sheetName val="BB"/>
      <sheetName val="BB_CCA"/>
      <sheetName val="Assets"/>
      <sheetName val="Liabilities"/>
      <sheetName val="2012_11_Draft_Monthly Report_VC"/>
    </sheetNames>
    <sheetDataSet>
      <sheetData sheetId="0"/>
      <sheetData sheetId="1"/>
      <sheetData sheetId="2"/>
      <sheetData sheetId="3"/>
      <sheetData sheetId="4">
        <row r="1">
          <cell r="E1">
            <v>41214</v>
          </cell>
        </row>
        <row r="2">
          <cell r="E2">
            <v>41264</v>
          </cell>
        </row>
        <row r="3">
          <cell r="E3">
            <v>14</v>
          </cell>
        </row>
        <row r="9">
          <cell r="E9">
            <v>492128609.38</v>
          </cell>
        </row>
        <row r="10">
          <cell r="E10">
            <v>465085079.85000002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29298817.449999999</v>
          </cell>
        </row>
        <row r="13">
          <cell r="C13">
            <v>28114074.209999997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
      <sheetName val="DI"/>
      <sheetName val="PL´s"/>
      <sheetName val="Taxa de Administração"/>
      <sheetName val="Swap"/>
      <sheetName val="RECEBÍVEIS"/>
      <sheetName val="Reserva de Liquidez"/>
      <sheetName val="Razão de Garantia"/>
      <sheetName val="FREC"/>
      <sheetName val="Feriados"/>
      <sheetName val="Amortização"/>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A6">
            <v>36892</v>
          </cell>
        </row>
        <row r="7">
          <cell r="A7">
            <v>36948</v>
          </cell>
        </row>
        <row r="8">
          <cell r="A8">
            <v>36949</v>
          </cell>
        </row>
        <row r="9">
          <cell r="A9">
            <v>36994</v>
          </cell>
        </row>
        <row r="10">
          <cell r="A10">
            <v>37002</v>
          </cell>
        </row>
        <row r="11">
          <cell r="A11">
            <v>37012</v>
          </cell>
        </row>
        <row r="12">
          <cell r="A12">
            <v>37056</v>
          </cell>
        </row>
        <row r="13">
          <cell r="A13">
            <v>37141</v>
          </cell>
        </row>
        <row r="14">
          <cell r="A14">
            <v>37176</v>
          </cell>
        </row>
        <row r="15">
          <cell r="A15">
            <v>37197</v>
          </cell>
        </row>
        <row r="16">
          <cell r="A16">
            <v>37210</v>
          </cell>
        </row>
        <row r="17">
          <cell r="A17">
            <v>37250</v>
          </cell>
        </row>
        <row r="18">
          <cell r="A18">
            <v>37257</v>
          </cell>
        </row>
        <row r="19">
          <cell r="A19">
            <v>37298</v>
          </cell>
        </row>
        <row r="20">
          <cell r="A20">
            <v>37299</v>
          </cell>
        </row>
        <row r="21">
          <cell r="A21">
            <v>37344</v>
          </cell>
        </row>
        <row r="22">
          <cell r="A22">
            <v>37367</v>
          </cell>
        </row>
        <row r="23">
          <cell r="A23">
            <v>37377</v>
          </cell>
        </row>
        <row r="24">
          <cell r="A24">
            <v>37406</v>
          </cell>
        </row>
        <row r="25">
          <cell r="A25">
            <v>37506</v>
          </cell>
        </row>
        <row r="26">
          <cell r="A26">
            <v>37541</v>
          </cell>
        </row>
        <row r="27">
          <cell r="A27">
            <v>37562</v>
          </cell>
        </row>
        <row r="28">
          <cell r="A28">
            <v>37575</v>
          </cell>
        </row>
        <row r="29">
          <cell r="A29">
            <v>37615</v>
          </cell>
        </row>
        <row r="30">
          <cell r="A30">
            <v>37622</v>
          </cell>
        </row>
        <row r="31">
          <cell r="A31">
            <v>37683</v>
          </cell>
        </row>
        <row r="32">
          <cell r="A32">
            <v>37684</v>
          </cell>
        </row>
        <row r="33">
          <cell r="A33">
            <v>37729</v>
          </cell>
        </row>
        <row r="34">
          <cell r="A34">
            <v>37732</v>
          </cell>
        </row>
        <row r="35">
          <cell r="A35">
            <v>37742</v>
          </cell>
        </row>
        <row r="36">
          <cell r="A36">
            <v>37791</v>
          </cell>
        </row>
        <row r="37">
          <cell r="A37">
            <v>37871</v>
          </cell>
        </row>
        <row r="38">
          <cell r="A38">
            <v>37906</v>
          </cell>
        </row>
        <row r="39">
          <cell r="A39">
            <v>37927</v>
          </cell>
        </row>
        <row r="40">
          <cell r="A40">
            <v>37940</v>
          </cell>
        </row>
        <row r="41">
          <cell r="A41">
            <v>37980</v>
          </cell>
        </row>
        <row r="42">
          <cell r="A42">
            <v>37987</v>
          </cell>
        </row>
        <row r="43">
          <cell r="A43">
            <v>38040</v>
          </cell>
        </row>
        <row r="44">
          <cell r="A44">
            <v>38041</v>
          </cell>
        </row>
        <row r="45">
          <cell r="A45">
            <v>38086</v>
          </cell>
        </row>
        <row r="46">
          <cell r="A46">
            <v>38098</v>
          </cell>
        </row>
        <row r="47">
          <cell r="A47">
            <v>38108</v>
          </cell>
        </row>
        <row r="48">
          <cell r="A48">
            <v>38148</v>
          </cell>
        </row>
        <row r="49">
          <cell r="A49">
            <v>38237</v>
          </cell>
        </row>
        <row r="50">
          <cell r="A50">
            <v>38272</v>
          </cell>
        </row>
        <row r="51">
          <cell r="A51">
            <v>38293</v>
          </cell>
        </row>
        <row r="52">
          <cell r="A52">
            <v>38306</v>
          </cell>
        </row>
        <row r="53">
          <cell r="A53">
            <v>38346</v>
          </cell>
        </row>
        <row r="54">
          <cell r="A54">
            <v>38353</v>
          </cell>
        </row>
        <row r="55">
          <cell r="A55">
            <v>38390</v>
          </cell>
        </row>
        <row r="56">
          <cell r="A56">
            <v>38391</v>
          </cell>
        </row>
        <row r="57">
          <cell r="A57">
            <v>38436</v>
          </cell>
        </row>
        <row r="58">
          <cell r="A58">
            <v>38463</v>
          </cell>
        </row>
        <row r="59">
          <cell r="A59">
            <v>38473</v>
          </cell>
        </row>
        <row r="60">
          <cell r="A60">
            <v>38498</v>
          </cell>
        </row>
        <row r="61">
          <cell r="A61">
            <v>38602</v>
          </cell>
        </row>
        <row r="62">
          <cell r="A62">
            <v>38637</v>
          </cell>
        </row>
        <row r="63">
          <cell r="A63">
            <v>38658</v>
          </cell>
        </row>
        <row r="64">
          <cell r="A64">
            <v>38671</v>
          </cell>
        </row>
        <row r="65">
          <cell r="A65">
            <v>38711</v>
          </cell>
        </row>
        <row r="66">
          <cell r="A66">
            <v>38718</v>
          </cell>
        </row>
        <row r="67">
          <cell r="A67">
            <v>38775</v>
          </cell>
        </row>
        <row r="68">
          <cell r="A68">
            <v>38776</v>
          </cell>
        </row>
        <row r="69">
          <cell r="A69">
            <v>38821</v>
          </cell>
        </row>
        <row r="70">
          <cell r="A70">
            <v>38828</v>
          </cell>
        </row>
        <row r="71">
          <cell r="A71">
            <v>38838</v>
          </cell>
        </row>
        <row r="72">
          <cell r="A72">
            <v>38883</v>
          </cell>
        </row>
        <row r="73">
          <cell r="A73">
            <v>38967</v>
          </cell>
        </row>
        <row r="74">
          <cell r="A74">
            <v>39002</v>
          </cell>
        </row>
        <row r="75">
          <cell r="A75">
            <v>39023</v>
          </cell>
        </row>
        <row r="76">
          <cell r="A76">
            <v>39036</v>
          </cell>
        </row>
        <row r="77">
          <cell r="A77">
            <v>39076</v>
          </cell>
        </row>
        <row r="78">
          <cell r="A78">
            <v>39083</v>
          </cell>
        </row>
        <row r="79">
          <cell r="A79">
            <v>39132</v>
          </cell>
        </row>
        <row r="80">
          <cell r="A80">
            <v>39133</v>
          </cell>
        </row>
        <row r="81">
          <cell r="A81">
            <v>39178</v>
          </cell>
        </row>
        <row r="82">
          <cell r="A82">
            <v>39193</v>
          </cell>
        </row>
        <row r="83">
          <cell r="A83">
            <v>39203</v>
          </cell>
        </row>
        <row r="84">
          <cell r="A84">
            <v>39240</v>
          </cell>
        </row>
        <row r="85">
          <cell r="A85">
            <v>39332</v>
          </cell>
        </row>
        <row r="86">
          <cell r="A86">
            <v>39367</v>
          </cell>
        </row>
        <row r="87">
          <cell r="A87">
            <v>39388</v>
          </cell>
        </row>
        <row r="88">
          <cell r="A88">
            <v>39401</v>
          </cell>
        </row>
        <row r="89">
          <cell r="A89">
            <v>39441</v>
          </cell>
        </row>
        <row r="90">
          <cell r="A90">
            <v>39448</v>
          </cell>
        </row>
        <row r="91">
          <cell r="A91">
            <v>39482</v>
          </cell>
        </row>
        <row r="92">
          <cell r="A92">
            <v>39483</v>
          </cell>
        </row>
        <row r="93">
          <cell r="A93">
            <v>39528</v>
          </cell>
        </row>
        <row r="94">
          <cell r="A94">
            <v>39559</v>
          </cell>
        </row>
        <row r="95">
          <cell r="A95">
            <v>39569</v>
          </cell>
        </row>
        <row r="96">
          <cell r="A96">
            <v>39590</v>
          </cell>
        </row>
        <row r="97">
          <cell r="A97">
            <v>39698</v>
          </cell>
        </row>
        <row r="98">
          <cell r="A98">
            <v>39733</v>
          </cell>
        </row>
        <row r="99">
          <cell r="A99">
            <v>39754</v>
          </cell>
        </row>
        <row r="100">
          <cell r="A100">
            <v>39767</v>
          </cell>
        </row>
        <row r="101">
          <cell r="A101">
            <v>39807</v>
          </cell>
        </row>
        <row r="102">
          <cell r="A102">
            <v>39814</v>
          </cell>
        </row>
        <row r="103">
          <cell r="A103">
            <v>39867</v>
          </cell>
        </row>
        <row r="104">
          <cell r="A104">
            <v>39868</v>
          </cell>
        </row>
        <row r="105">
          <cell r="A105">
            <v>39913</v>
          </cell>
        </row>
        <row r="106">
          <cell r="A106">
            <v>39924</v>
          </cell>
        </row>
        <row r="107">
          <cell r="A107">
            <v>39934</v>
          </cell>
        </row>
        <row r="108">
          <cell r="A108">
            <v>39975</v>
          </cell>
        </row>
        <row r="109">
          <cell r="A109">
            <v>40063</v>
          </cell>
        </row>
        <row r="110">
          <cell r="A110">
            <v>40098</v>
          </cell>
        </row>
        <row r="111">
          <cell r="A111">
            <v>40119</v>
          </cell>
        </row>
        <row r="112">
          <cell r="A112">
            <v>40132</v>
          </cell>
        </row>
        <row r="113">
          <cell r="A113">
            <v>40172</v>
          </cell>
        </row>
        <row r="114">
          <cell r="A114">
            <v>40179</v>
          </cell>
        </row>
        <row r="115">
          <cell r="A115">
            <v>40224</v>
          </cell>
        </row>
        <row r="116">
          <cell r="A116">
            <v>40225</v>
          </cell>
        </row>
        <row r="117">
          <cell r="A117">
            <v>40270</v>
          </cell>
        </row>
        <row r="118">
          <cell r="A118">
            <v>40289</v>
          </cell>
        </row>
        <row r="119">
          <cell r="A119">
            <v>40299</v>
          </cell>
        </row>
        <row r="120">
          <cell r="A120">
            <v>40332</v>
          </cell>
        </row>
        <row r="121">
          <cell r="A121">
            <v>40428</v>
          </cell>
        </row>
        <row r="122">
          <cell r="A122">
            <v>40463</v>
          </cell>
        </row>
        <row r="123">
          <cell r="A123">
            <v>40484</v>
          </cell>
        </row>
        <row r="124">
          <cell r="A124">
            <v>40497</v>
          </cell>
        </row>
        <row r="125">
          <cell r="A125">
            <v>40537</v>
          </cell>
        </row>
        <row r="126">
          <cell r="A126">
            <v>40544</v>
          </cell>
        </row>
        <row r="127">
          <cell r="A127">
            <v>40609</v>
          </cell>
        </row>
        <row r="128">
          <cell r="A128">
            <v>40610</v>
          </cell>
        </row>
        <row r="129">
          <cell r="A129">
            <v>40654</v>
          </cell>
        </row>
        <row r="130">
          <cell r="A130">
            <v>40655</v>
          </cell>
        </row>
        <row r="131">
          <cell r="A131">
            <v>40664</v>
          </cell>
        </row>
        <row r="132">
          <cell r="A132">
            <v>40717</v>
          </cell>
        </row>
        <row r="133">
          <cell r="A133">
            <v>40793</v>
          </cell>
        </row>
        <row r="134">
          <cell r="A134">
            <v>40828</v>
          </cell>
        </row>
        <row r="135">
          <cell r="A135">
            <v>40849</v>
          </cell>
        </row>
        <row r="136">
          <cell r="A136">
            <v>40862</v>
          </cell>
        </row>
        <row r="137">
          <cell r="A137">
            <v>40902</v>
          </cell>
        </row>
        <row r="138">
          <cell r="A138">
            <v>40909</v>
          </cell>
        </row>
        <row r="139">
          <cell r="A139">
            <v>40959</v>
          </cell>
        </row>
        <row r="140">
          <cell r="A140">
            <v>40960</v>
          </cell>
        </row>
        <row r="141">
          <cell r="A141">
            <v>41005</v>
          </cell>
        </row>
        <row r="142">
          <cell r="A142">
            <v>41020</v>
          </cell>
        </row>
        <row r="143">
          <cell r="A143">
            <v>41030</v>
          </cell>
        </row>
        <row r="144">
          <cell r="A144">
            <v>41067</v>
          </cell>
        </row>
        <row r="145">
          <cell r="A145">
            <v>41159</v>
          </cell>
        </row>
        <row r="146">
          <cell r="A146">
            <v>41194</v>
          </cell>
        </row>
        <row r="147">
          <cell r="A147">
            <v>41215</v>
          </cell>
        </row>
        <row r="148">
          <cell r="A148">
            <v>41228</v>
          </cell>
        </row>
        <row r="149">
          <cell r="A149">
            <v>41268</v>
          </cell>
        </row>
        <row r="150">
          <cell r="A150">
            <v>41275</v>
          </cell>
        </row>
        <row r="151">
          <cell r="A151">
            <v>41316</v>
          </cell>
        </row>
        <row r="152">
          <cell r="A152">
            <v>41317</v>
          </cell>
        </row>
        <row r="153">
          <cell r="A153">
            <v>41362</v>
          </cell>
        </row>
        <row r="154">
          <cell r="A154">
            <v>41385</v>
          </cell>
        </row>
        <row r="155">
          <cell r="A155">
            <v>41395</v>
          </cell>
        </row>
        <row r="156">
          <cell r="A156">
            <v>41424</v>
          </cell>
        </row>
        <row r="157">
          <cell r="A157">
            <v>41524</v>
          </cell>
        </row>
        <row r="158">
          <cell r="A158">
            <v>41559</v>
          </cell>
        </row>
        <row r="159">
          <cell r="A159">
            <v>41580</v>
          </cell>
        </row>
        <row r="160">
          <cell r="A160">
            <v>41593</v>
          </cell>
        </row>
        <row r="161">
          <cell r="A161">
            <v>41633</v>
          </cell>
        </row>
        <row r="162">
          <cell r="A162">
            <v>41640</v>
          </cell>
        </row>
        <row r="163">
          <cell r="A163">
            <v>41701</v>
          </cell>
        </row>
        <row r="164">
          <cell r="A164">
            <v>41702</v>
          </cell>
        </row>
        <row r="165">
          <cell r="A165">
            <v>41747</v>
          </cell>
        </row>
        <row r="166">
          <cell r="A166">
            <v>41750</v>
          </cell>
        </row>
        <row r="167">
          <cell r="A167">
            <v>41760</v>
          </cell>
        </row>
        <row r="168">
          <cell r="A168">
            <v>41809</v>
          </cell>
        </row>
        <row r="169">
          <cell r="A169">
            <v>41889</v>
          </cell>
        </row>
        <row r="170">
          <cell r="A170">
            <v>41924</v>
          </cell>
        </row>
        <row r="171">
          <cell r="A171">
            <v>41945</v>
          </cell>
        </row>
        <row r="172">
          <cell r="A172">
            <v>41958</v>
          </cell>
        </row>
        <row r="173">
          <cell r="A173">
            <v>41998</v>
          </cell>
        </row>
        <row r="174">
          <cell r="A174">
            <v>42005</v>
          </cell>
        </row>
        <row r="175">
          <cell r="A175">
            <v>42051</v>
          </cell>
        </row>
        <row r="176">
          <cell r="A176">
            <v>42052</v>
          </cell>
        </row>
        <row r="177">
          <cell r="A177">
            <v>42097</v>
          </cell>
        </row>
        <row r="178">
          <cell r="A178">
            <v>42115</v>
          </cell>
        </row>
        <row r="179">
          <cell r="A179">
            <v>42125</v>
          </cell>
        </row>
        <row r="180">
          <cell r="A180">
            <v>42159</v>
          </cell>
        </row>
        <row r="181">
          <cell r="A181">
            <v>42254</v>
          </cell>
        </row>
        <row r="182">
          <cell r="A182">
            <v>42289</v>
          </cell>
        </row>
        <row r="183">
          <cell r="A183">
            <v>42310</v>
          </cell>
        </row>
        <row r="184">
          <cell r="A184">
            <v>42323</v>
          </cell>
        </row>
        <row r="185">
          <cell r="A185">
            <v>42363</v>
          </cell>
        </row>
        <row r="186">
          <cell r="A186">
            <v>42370</v>
          </cell>
        </row>
        <row r="187">
          <cell r="A187">
            <v>42408</v>
          </cell>
        </row>
        <row r="188">
          <cell r="A188">
            <v>42409</v>
          </cell>
        </row>
        <row r="189">
          <cell r="A189">
            <v>42454</v>
          </cell>
        </row>
        <row r="190">
          <cell r="A190">
            <v>42481</v>
          </cell>
        </row>
        <row r="191">
          <cell r="A191">
            <v>42491</v>
          </cell>
        </row>
        <row r="192">
          <cell r="A192">
            <v>42516</v>
          </cell>
        </row>
        <row r="193">
          <cell r="A193">
            <v>42620</v>
          </cell>
        </row>
        <row r="194">
          <cell r="A194">
            <v>42655</v>
          </cell>
        </row>
        <row r="195">
          <cell r="A195">
            <v>42676</v>
          </cell>
        </row>
        <row r="196">
          <cell r="A196">
            <v>42689</v>
          </cell>
        </row>
        <row r="197">
          <cell r="A197">
            <v>42729</v>
          </cell>
        </row>
        <row r="198">
          <cell r="A198">
            <v>42736</v>
          </cell>
        </row>
        <row r="199">
          <cell r="A199">
            <v>42793</v>
          </cell>
        </row>
        <row r="200">
          <cell r="A200">
            <v>42794</v>
          </cell>
        </row>
        <row r="201">
          <cell r="A201">
            <v>42839</v>
          </cell>
        </row>
        <row r="202">
          <cell r="A202">
            <v>42846</v>
          </cell>
        </row>
        <row r="203">
          <cell r="A203">
            <v>42856</v>
          </cell>
        </row>
        <row r="204">
          <cell r="A204">
            <v>42901</v>
          </cell>
        </row>
        <row r="205">
          <cell r="A205">
            <v>42985</v>
          </cell>
        </row>
        <row r="206">
          <cell r="A206">
            <v>43020</v>
          </cell>
        </row>
        <row r="207">
          <cell r="A207">
            <v>43041</v>
          </cell>
        </row>
        <row r="208">
          <cell r="A208">
            <v>43054</v>
          </cell>
        </row>
        <row r="209">
          <cell r="A209">
            <v>43094</v>
          </cell>
        </row>
        <row r="210">
          <cell r="A210">
            <v>43101</v>
          </cell>
        </row>
        <row r="211">
          <cell r="A211">
            <v>43143</v>
          </cell>
        </row>
        <row r="212">
          <cell r="A212">
            <v>43144</v>
          </cell>
        </row>
        <row r="213">
          <cell r="A213">
            <v>43189</v>
          </cell>
        </row>
        <row r="214">
          <cell r="A214">
            <v>43211</v>
          </cell>
        </row>
        <row r="215">
          <cell r="A215">
            <v>43221</v>
          </cell>
        </row>
        <row r="216">
          <cell r="A216">
            <v>43251</v>
          </cell>
        </row>
        <row r="217">
          <cell r="A217">
            <v>43350</v>
          </cell>
        </row>
        <row r="218">
          <cell r="A218">
            <v>43385</v>
          </cell>
        </row>
        <row r="219">
          <cell r="A219">
            <v>43406</v>
          </cell>
        </row>
        <row r="220">
          <cell r="A220">
            <v>43419</v>
          </cell>
        </row>
        <row r="221">
          <cell r="A221">
            <v>43459</v>
          </cell>
        </row>
        <row r="222">
          <cell r="A222">
            <v>43466</v>
          </cell>
        </row>
        <row r="223">
          <cell r="A223">
            <v>43528</v>
          </cell>
        </row>
        <row r="224">
          <cell r="A224">
            <v>43529</v>
          </cell>
        </row>
        <row r="225">
          <cell r="A225">
            <v>43574</v>
          </cell>
        </row>
        <row r="226">
          <cell r="A226">
            <v>43576</v>
          </cell>
        </row>
        <row r="227">
          <cell r="A227">
            <v>43586</v>
          </cell>
        </row>
        <row r="228">
          <cell r="A228">
            <v>43636</v>
          </cell>
        </row>
        <row r="229">
          <cell r="A229">
            <v>43715</v>
          </cell>
        </row>
        <row r="230">
          <cell r="A230">
            <v>43750</v>
          </cell>
        </row>
        <row r="231">
          <cell r="A231">
            <v>43771</v>
          </cell>
        </row>
        <row r="232">
          <cell r="A232">
            <v>43784</v>
          </cell>
        </row>
        <row r="233">
          <cell r="A233">
            <v>43824</v>
          </cell>
        </row>
        <row r="234">
          <cell r="A234">
            <v>43831</v>
          </cell>
        </row>
        <row r="235">
          <cell r="A235">
            <v>43885</v>
          </cell>
        </row>
        <row r="236">
          <cell r="A236">
            <v>43886</v>
          </cell>
        </row>
        <row r="237">
          <cell r="A237">
            <v>43931</v>
          </cell>
        </row>
        <row r="238">
          <cell r="A238">
            <v>43942</v>
          </cell>
        </row>
        <row r="239">
          <cell r="A239">
            <v>43952</v>
          </cell>
        </row>
        <row r="240">
          <cell r="A240">
            <v>43993</v>
          </cell>
        </row>
        <row r="241">
          <cell r="A241">
            <v>44081</v>
          </cell>
        </row>
        <row r="242">
          <cell r="A242">
            <v>44116</v>
          </cell>
        </row>
        <row r="243">
          <cell r="A243">
            <v>44137</v>
          </cell>
        </row>
        <row r="244">
          <cell r="A244">
            <v>44150</v>
          </cell>
        </row>
        <row r="245">
          <cell r="A245">
            <v>44190</v>
          </cell>
        </row>
        <row r="246">
          <cell r="A246">
            <v>44197</v>
          </cell>
        </row>
        <row r="247">
          <cell r="A247">
            <v>44242</v>
          </cell>
        </row>
        <row r="248">
          <cell r="A248">
            <v>44243</v>
          </cell>
        </row>
        <row r="249">
          <cell r="A249">
            <v>44288</v>
          </cell>
        </row>
        <row r="250">
          <cell r="A250">
            <v>44307</v>
          </cell>
        </row>
        <row r="251">
          <cell r="A251">
            <v>44317</v>
          </cell>
        </row>
        <row r="252">
          <cell r="A252">
            <v>44350</v>
          </cell>
        </row>
        <row r="253">
          <cell r="A253">
            <v>44446</v>
          </cell>
        </row>
        <row r="254">
          <cell r="A254">
            <v>44481</v>
          </cell>
        </row>
        <row r="255">
          <cell r="A255">
            <v>44502</v>
          </cell>
        </row>
        <row r="256">
          <cell r="A256">
            <v>44515</v>
          </cell>
        </row>
        <row r="257">
          <cell r="A257">
            <v>44555</v>
          </cell>
        </row>
        <row r="258">
          <cell r="A258">
            <v>44562</v>
          </cell>
        </row>
        <row r="259">
          <cell r="A259">
            <v>44620</v>
          </cell>
        </row>
        <row r="260">
          <cell r="A260">
            <v>44621</v>
          </cell>
        </row>
        <row r="261">
          <cell r="A261">
            <v>44666</v>
          </cell>
        </row>
        <row r="262">
          <cell r="A262">
            <v>44672</v>
          </cell>
        </row>
        <row r="263">
          <cell r="A263">
            <v>44682</v>
          </cell>
        </row>
        <row r="264">
          <cell r="A264">
            <v>44728</v>
          </cell>
        </row>
        <row r="265">
          <cell r="A265">
            <v>44811</v>
          </cell>
        </row>
        <row r="266">
          <cell r="A266">
            <v>44846</v>
          </cell>
        </row>
        <row r="267">
          <cell r="A267">
            <v>44867</v>
          </cell>
        </row>
        <row r="268">
          <cell r="A268">
            <v>44880</v>
          </cell>
        </row>
        <row r="269">
          <cell r="A269">
            <v>44920</v>
          </cell>
        </row>
        <row r="270">
          <cell r="A270">
            <v>44927</v>
          </cell>
        </row>
        <row r="271">
          <cell r="A271">
            <v>44977</v>
          </cell>
        </row>
        <row r="272">
          <cell r="A272">
            <v>44978</v>
          </cell>
        </row>
        <row r="273">
          <cell r="A273">
            <v>45023</v>
          </cell>
        </row>
        <row r="274">
          <cell r="A274">
            <v>45037</v>
          </cell>
        </row>
        <row r="275">
          <cell r="A275">
            <v>45047</v>
          </cell>
        </row>
        <row r="276">
          <cell r="A276">
            <v>45085</v>
          </cell>
        </row>
        <row r="277">
          <cell r="A277">
            <v>45176</v>
          </cell>
        </row>
        <row r="278">
          <cell r="A278">
            <v>45211</v>
          </cell>
        </row>
        <row r="279">
          <cell r="A279">
            <v>45232</v>
          </cell>
        </row>
        <row r="280">
          <cell r="A280">
            <v>45245</v>
          </cell>
        </row>
        <row r="281">
          <cell r="A281">
            <v>45285</v>
          </cell>
        </row>
        <row r="282">
          <cell r="A282">
            <v>45292</v>
          </cell>
        </row>
        <row r="283">
          <cell r="A283">
            <v>45334</v>
          </cell>
        </row>
        <row r="284">
          <cell r="A284">
            <v>45335</v>
          </cell>
        </row>
        <row r="285">
          <cell r="A285">
            <v>45380</v>
          </cell>
        </row>
        <row r="286">
          <cell r="A286">
            <v>45403</v>
          </cell>
        </row>
        <row r="287">
          <cell r="A287">
            <v>45413</v>
          </cell>
        </row>
        <row r="288">
          <cell r="A288">
            <v>45442</v>
          </cell>
        </row>
        <row r="289">
          <cell r="A289">
            <v>45542</v>
          </cell>
        </row>
        <row r="290">
          <cell r="A290">
            <v>45577</v>
          </cell>
        </row>
        <row r="291">
          <cell r="A291">
            <v>45598</v>
          </cell>
        </row>
        <row r="292">
          <cell r="A292">
            <v>45611</v>
          </cell>
        </row>
        <row r="293">
          <cell r="A293">
            <v>45651</v>
          </cell>
        </row>
        <row r="294">
          <cell r="A294">
            <v>45658</v>
          </cell>
        </row>
        <row r="295">
          <cell r="A295">
            <v>45719</v>
          </cell>
        </row>
        <row r="296">
          <cell r="A296">
            <v>45720</v>
          </cell>
        </row>
        <row r="297">
          <cell r="A297">
            <v>45765</v>
          </cell>
        </row>
        <row r="298">
          <cell r="A298">
            <v>45768</v>
          </cell>
        </row>
        <row r="299">
          <cell r="A299">
            <v>45778</v>
          </cell>
        </row>
        <row r="300">
          <cell r="A300">
            <v>45827</v>
          </cell>
        </row>
        <row r="301">
          <cell r="A301">
            <v>45907</v>
          </cell>
        </row>
        <row r="302">
          <cell r="A302">
            <v>45942</v>
          </cell>
        </row>
        <row r="303">
          <cell r="A303">
            <v>45963</v>
          </cell>
        </row>
        <row r="304">
          <cell r="A304">
            <v>45976</v>
          </cell>
        </row>
        <row r="305">
          <cell r="A305">
            <v>46016</v>
          </cell>
        </row>
        <row r="306">
          <cell r="A306">
            <v>46023</v>
          </cell>
        </row>
        <row r="307">
          <cell r="A307">
            <v>46069</v>
          </cell>
        </row>
        <row r="308">
          <cell r="A308">
            <v>46070</v>
          </cell>
        </row>
        <row r="309">
          <cell r="A309">
            <v>46115</v>
          </cell>
        </row>
        <row r="310">
          <cell r="A310">
            <v>46133</v>
          </cell>
        </row>
        <row r="311">
          <cell r="A311">
            <v>46143</v>
          </cell>
        </row>
        <row r="312">
          <cell r="A312">
            <v>46177</v>
          </cell>
        </row>
        <row r="313">
          <cell r="A313">
            <v>46272</v>
          </cell>
        </row>
        <row r="314">
          <cell r="A314">
            <v>46307</v>
          </cell>
        </row>
        <row r="315">
          <cell r="A315">
            <v>46328</v>
          </cell>
        </row>
        <row r="316">
          <cell r="A316">
            <v>46341</v>
          </cell>
        </row>
        <row r="317">
          <cell r="A317">
            <v>46381</v>
          </cell>
        </row>
        <row r="318">
          <cell r="A318">
            <v>46388</v>
          </cell>
        </row>
        <row r="319">
          <cell r="A319">
            <v>46426</v>
          </cell>
        </row>
        <row r="320">
          <cell r="A320">
            <v>46427</v>
          </cell>
        </row>
        <row r="321">
          <cell r="A321">
            <v>46472</v>
          </cell>
        </row>
        <row r="322">
          <cell r="A322">
            <v>46498</v>
          </cell>
        </row>
        <row r="323">
          <cell r="A323">
            <v>46508</v>
          </cell>
        </row>
        <row r="324">
          <cell r="A324">
            <v>46534</v>
          </cell>
        </row>
        <row r="325">
          <cell r="A325">
            <v>46637</v>
          </cell>
        </row>
        <row r="326">
          <cell r="A326">
            <v>46672</v>
          </cell>
        </row>
        <row r="327">
          <cell r="A327">
            <v>46693</v>
          </cell>
        </row>
        <row r="328">
          <cell r="A328">
            <v>46706</v>
          </cell>
        </row>
        <row r="329">
          <cell r="A329">
            <v>46746</v>
          </cell>
        </row>
        <row r="330">
          <cell r="A330">
            <v>46753</v>
          </cell>
        </row>
        <row r="331">
          <cell r="A331">
            <v>46811</v>
          </cell>
        </row>
        <row r="332">
          <cell r="A332">
            <v>46812</v>
          </cell>
        </row>
        <row r="333">
          <cell r="A333">
            <v>46857</v>
          </cell>
        </row>
        <row r="334">
          <cell r="A334">
            <v>46864</v>
          </cell>
        </row>
        <row r="335">
          <cell r="A335">
            <v>46874</v>
          </cell>
        </row>
        <row r="336">
          <cell r="A336">
            <v>46919</v>
          </cell>
        </row>
        <row r="337">
          <cell r="A337">
            <v>47003</v>
          </cell>
        </row>
        <row r="338">
          <cell r="A338">
            <v>47038</v>
          </cell>
        </row>
        <row r="339">
          <cell r="A339">
            <v>47059</v>
          </cell>
        </row>
        <row r="340">
          <cell r="A340">
            <v>47072</v>
          </cell>
        </row>
        <row r="341">
          <cell r="A341">
            <v>47112</v>
          </cell>
        </row>
        <row r="342">
          <cell r="A342">
            <v>47119</v>
          </cell>
        </row>
        <row r="343">
          <cell r="A343">
            <v>47161</v>
          </cell>
        </row>
        <row r="344">
          <cell r="A344">
            <v>47162</v>
          </cell>
        </row>
        <row r="345">
          <cell r="A345">
            <v>47207</v>
          </cell>
        </row>
        <row r="346">
          <cell r="A346">
            <v>47229</v>
          </cell>
        </row>
        <row r="347">
          <cell r="A347">
            <v>47239</v>
          </cell>
        </row>
        <row r="348">
          <cell r="A348">
            <v>47269</v>
          </cell>
        </row>
        <row r="349">
          <cell r="A349">
            <v>47368</v>
          </cell>
        </row>
        <row r="350">
          <cell r="A350">
            <v>47403</v>
          </cell>
        </row>
        <row r="351">
          <cell r="A351">
            <v>47424</v>
          </cell>
        </row>
        <row r="352">
          <cell r="A352">
            <v>47437</v>
          </cell>
        </row>
        <row r="353">
          <cell r="A353">
            <v>47477</v>
          </cell>
        </row>
        <row r="354">
          <cell r="A354">
            <v>47484</v>
          </cell>
        </row>
        <row r="355">
          <cell r="A355">
            <v>47546</v>
          </cell>
        </row>
        <row r="356">
          <cell r="A356">
            <v>47547</v>
          </cell>
        </row>
        <row r="357">
          <cell r="A357">
            <v>47592</v>
          </cell>
        </row>
        <row r="358">
          <cell r="A358">
            <v>47594</v>
          </cell>
        </row>
        <row r="359">
          <cell r="A359">
            <v>47604</v>
          </cell>
        </row>
        <row r="360">
          <cell r="A360">
            <v>47654</v>
          </cell>
        </row>
        <row r="361">
          <cell r="A361">
            <v>47733</v>
          </cell>
        </row>
        <row r="362">
          <cell r="A362">
            <v>47768</v>
          </cell>
        </row>
        <row r="363">
          <cell r="A363">
            <v>47789</v>
          </cell>
        </row>
        <row r="364">
          <cell r="A364">
            <v>47802</v>
          </cell>
        </row>
        <row r="365">
          <cell r="A365">
            <v>47842</v>
          </cell>
        </row>
        <row r="366">
          <cell r="A366">
            <v>47849</v>
          </cell>
        </row>
        <row r="367">
          <cell r="A367">
            <v>47903</v>
          </cell>
        </row>
        <row r="368">
          <cell r="A368">
            <v>47904</v>
          </cell>
        </row>
        <row r="369">
          <cell r="A369">
            <v>47949</v>
          </cell>
        </row>
        <row r="370">
          <cell r="A370">
            <v>47959</v>
          </cell>
        </row>
        <row r="371">
          <cell r="A371">
            <v>47969</v>
          </cell>
        </row>
        <row r="372">
          <cell r="A372">
            <v>48011</v>
          </cell>
        </row>
        <row r="373">
          <cell r="A373">
            <v>48098</v>
          </cell>
        </row>
        <row r="374">
          <cell r="A374">
            <v>48133</v>
          </cell>
        </row>
        <row r="375">
          <cell r="A375">
            <v>48154</v>
          </cell>
        </row>
        <row r="376">
          <cell r="A376">
            <v>48167</v>
          </cell>
        </row>
        <row r="377">
          <cell r="A377">
            <v>48207</v>
          </cell>
        </row>
        <row r="378">
          <cell r="A378">
            <v>48214</v>
          </cell>
        </row>
        <row r="379">
          <cell r="A379">
            <v>48253</v>
          </cell>
        </row>
        <row r="380">
          <cell r="A380">
            <v>48254</v>
          </cell>
        </row>
        <row r="381">
          <cell r="A381">
            <v>48299</v>
          </cell>
        </row>
        <row r="382">
          <cell r="A382">
            <v>48325</v>
          </cell>
        </row>
        <row r="383">
          <cell r="A383">
            <v>48335</v>
          </cell>
        </row>
        <row r="384">
          <cell r="A384">
            <v>48361</v>
          </cell>
        </row>
        <row r="385">
          <cell r="A385">
            <v>48464</v>
          </cell>
        </row>
        <row r="386">
          <cell r="A386">
            <v>48499</v>
          </cell>
        </row>
        <row r="387">
          <cell r="A387">
            <v>48520</v>
          </cell>
        </row>
        <row r="388">
          <cell r="A388">
            <v>48533</v>
          </cell>
        </row>
        <row r="389">
          <cell r="A389">
            <v>48573</v>
          </cell>
        </row>
        <row r="390">
          <cell r="A390">
            <v>48580</v>
          </cell>
        </row>
        <row r="391">
          <cell r="A391">
            <v>48638</v>
          </cell>
        </row>
        <row r="392">
          <cell r="A392">
            <v>48639</v>
          </cell>
        </row>
        <row r="393">
          <cell r="A393">
            <v>48684</v>
          </cell>
        </row>
        <row r="394">
          <cell r="A394">
            <v>48690</v>
          </cell>
        </row>
        <row r="395">
          <cell r="A395">
            <v>48700</v>
          </cell>
        </row>
        <row r="396">
          <cell r="A396">
            <v>48746</v>
          </cell>
        </row>
        <row r="397">
          <cell r="A397">
            <v>48829</v>
          </cell>
        </row>
        <row r="398">
          <cell r="A398">
            <v>48864</v>
          </cell>
        </row>
        <row r="399">
          <cell r="A399">
            <v>48885</v>
          </cell>
        </row>
        <row r="400">
          <cell r="A400">
            <v>48898</v>
          </cell>
        </row>
        <row r="401">
          <cell r="A401">
            <v>48938</v>
          </cell>
        </row>
        <row r="402">
          <cell r="A402">
            <v>48945</v>
          </cell>
        </row>
        <row r="403">
          <cell r="A403">
            <v>48995</v>
          </cell>
        </row>
        <row r="404">
          <cell r="A404">
            <v>48996</v>
          </cell>
        </row>
        <row r="405">
          <cell r="A405">
            <v>49041</v>
          </cell>
        </row>
        <row r="406">
          <cell r="A406">
            <v>49055</v>
          </cell>
        </row>
        <row r="407">
          <cell r="A407">
            <v>49065</v>
          </cell>
        </row>
        <row r="408">
          <cell r="A408">
            <v>49103</v>
          </cell>
        </row>
        <row r="409">
          <cell r="A409">
            <v>49194</v>
          </cell>
        </row>
        <row r="410">
          <cell r="A410">
            <v>49229</v>
          </cell>
        </row>
        <row r="411">
          <cell r="A411">
            <v>49250</v>
          </cell>
        </row>
        <row r="412">
          <cell r="A412">
            <v>49263</v>
          </cell>
        </row>
        <row r="413">
          <cell r="A413">
            <v>49303</v>
          </cell>
        </row>
        <row r="414">
          <cell r="A414">
            <v>49310</v>
          </cell>
        </row>
        <row r="415">
          <cell r="A415">
            <v>49345</v>
          </cell>
        </row>
        <row r="416">
          <cell r="A416">
            <v>49346</v>
          </cell>
        </row>
        <row r="417">
          <cell r="A417">
            <v>49391</v>
          </cell>
        </row>
        <row r="418">
          <cell r="A418">
            <v>49420</v>
          </cell>
        </row>
        <row r="419">
          <cell r="A419">
            <v>49430</v>
          </cell>
        </row>
        <row r="420">
          <cell r="A420">
            <v>49453</v>
          </cell>
        </row>
        <row r="421">
          <cell r="A421">
            <v>49559</v>
          </cell>
        </row>
        <row r="422">
          <cell r="A422">
            <v>49594</v>
          </cell>
        </row>
        <row r="423">
          <cell r="A423">
            <v>49615</v>
          </cell>
        </row>
        <row r="424">
          <cell r="A424">
            <v>49628</v>
          </cell>
        </row>
        <row r="425">
          <cell r="A425">
            <v>49668</v>
          </cell>
        </row>
        <row r="426">
          <cell r="A426">
            <v>49675</v>
          </cell>
        </row>
        <row r="427">
          <cell r="A427">
            <v>49730</v>
          </cell>
        </row>
        <row r="428">
          <cell r="A428">
            <v>49731</v>
          </cell>
        </row>
        <row r="429">
          <cell r="A429">
            <v>49776</v>
          </cell>
        </row>
        <row r="430">
          <cell r="A430">
            <v>49786</v>
          </cell>
        </row>
        <row r="431">
          <cell r="A431">
            <v>49796</v>
          </cell>
        </row>
        <row r="432">
          <cell r="A432">
            <v>49838</v>
          </cell>
        </row>
        <row r="433">
          <cell r="A433">
            <v>49925</v>
          </cell>
        </row>
        <row r="434">
          <cell r="A434">
            <v>49960</v>
          </cell>
        </row>
        <row r="435">
          <cell r="A435">
            <v>49981</v>
          </cell>
        </row>
        <row r="436">
          <cell r="A436">
            <v>49994</v>
          </cell>
        </row>
        <row r="437">
          <cell r="A437">
            <v>50034</v>
          </cell>
        </row>
        <row r="438">
          <cell r="A438">
            <v>50041</v>
          </cell>
        </row>
        <row r="439">
          <cell r="A439">
            <v>50087</v>
          </cell>
        </row>
        <row r="440">
          <cell r="A440">
            <v>50088</v>
          </cell>
        </row>
        <row r="441">
          <cell r="A441">
            <v>50133</v>
          </cell>
        </row>
        <row r="442">
          <cell r="A442">
            <v>50151</v>
          </cell>
        </row>
        <row r="443">
          <cell r="A443">
            <v>50161</v>
          </cell>
        </row>
        <row r="444">
          <cell r="A444">
            <v>50195</v>
          </cell>
        </row>
        <row r="445">
          <cell r="A445">
            <v>50290</v>
          </cell>
        </row>
        <row r="446">
          <cell r="A446">
            <v>50325</v>
          </cell>
        </row>
        <row r="447">
          <cell r="A447">
            <v>50346</v>
          </cell>
        </row>
        <row r="448">
          <cell r="A448">
            <v>50359</v>
          </cell>
        </row>
        <row r="449">
          <cell r="A449">
            <v>50399</v>
          </cell>
        </row>
        <row r="450">
          <cell r="A450">
            <v>50406</v>
          </cell>
        </row>
        <row r="451">
          <cell r="A451">
            <v>50472</v>
          </cell>
        </row>
        <row r="452">
          <cell r="A452">
            <v>50473</v>
          </cell>
        </row>
        <row r="453">
          <cell r="A453">
            <v>50516</v>
          </cell>
        </row>
        <row r="454">
          <cell r="A454">
            <v>50518</v>
          </cell>
        </row>
        <row r="455">
          <cell r="A455">
            <v>50526</v>
          </cell>
        </row>
        <row r="456">
          <cell r="A456">
            <v>50580</v>
          </cell>
        </row>
        <row r="457">
          <cell r="A457">
            <v>50655</v>
          </cell>
        </row>
        <row r="458">
          <cell r="A458">
            <v>50690</v>
          </cell>
        </row>
        <row r="459">
          <cell r="A459">
            <v>50711</v>
          </cell>
        </row>
        <row r="460">
          <cell r="A460">
            <v>50724</v>
          </cell>
        </row>
        <row r="461">
          <cell r="A461">
            <v>50764</v>
          </cell>
        </row>
        <row r="462">
          <cell r="A462">
            <v>50771</v>
          </cell>
        </row>
        <row r="463">
          <cell r="A463">
            <v>50822</v>
          </cell>
        </row>
        <row r="464">
          <cell r="A464">
            <v>50823</v>
          </cell>
        </row>
        <row r="465">
          <cell r="A465">
            <v>50868</v>
          </cell>
        </row>
        <row r="466">
          <cell r="A466">
            <v>50881</v>
          </cell>
        </row>
        <row r="467">
          <cell r="A467">
            <v>50891</v>
          </cell>
        </row>
        <row r="468">
          <cell r="A468">
            <v>50930</v>
          </cell>
        </row>
        <row r="469">
          <cell r="A469">
            <v>51020</v>
          </cell>
        </row>
        <row r="470">
          <cell r="A470">
            <v>51055</v>
          </cell>
        </row>
        <row r="471">
          <cell r="A471">
            <v>51076</v>
          </cell>
        </row>
        <row r="472">
          <cell r="A472">
            <v>51089</v>
          </cell>
        </row>
        <row r="473">
          <cell r="A473">
            <v>51129</v>
          </cell>
        </row>
        <row r="474">
          <cell r="A474">
            <v>51136</v>
          </cell>
        </row>
        <row r="475">
          <cell r="A475">
            <v>51179</v>
          </cell>
        </row>
        <row r="476">
          <cell r="A476">
            <v>51180</v>
          </cell>
        </row>
        <row r="477">
          <cell r="A477">
            <v>51225</v>
          </cell>
        </row>
        <row r="478">
          <cell r="A478">
            <v>51247</v>
          </cell>
        </row>
        <row r="479">
          <cell r="A479">
            <v>51257</v>
          </cell>
        </row>
        <row r="480">
          <cell r="A480">
            <v>51287</v>
          </cell>
        </row>
        <row r="481">
          <cell r="A481">
            <v>51386</v>
          </cell>
        </row>
        <row r="482">
          <cell r="A482">
            <v>51421</v>
          </cell>
        </row>
        <row r="483">
          <cell r="A483">
            <v>51442</v>
          </cell>
        </row>
        <row r="484">
          <cell r="A484">
            <v>51455</v>
          </cell>
        </row>
        <row r="485">
          <cell r="A485">
            <v>51495</v>
          </cell>
        </row>
        <row r="486">
          <cell r="A486">
            <v>51502</v>
          </cell>
        </row>
        <row r="487">
          <cell r="A487">
            <v>51564</v>
          </cell>
        </row>
        <row r="488">
          <cell r="A488">
            <v>51565</v>
          </cell>
        </row>
        <row r="489">
          <cell r="A489">
            <v>51610</v>
          </cell>
        </row>
        <row r="490">
          <cell r="A490">
            <v>51612</v>
          </cell>
        </row>
        <row r="491">
          <cell r="A491">
            <v>51622</v>
          </cell>
        </row>
        <row r="492">
          <cell r="A492">
            <v>51672</v>
          </cell>
        </row>
        <row r="493">
          <cell r="A493">
            <v>51751</v>
          </cell>
        </row>
        <row r="494">
          <cell r="A494">
            <v>51786</v>
          </cell>
        </row>
        <row r="495">
          <cell r="A495">
            <v>51807</v>
          </cell>
        </row>
        <row r="496">
          <cell r="A496">
            <v>51820</v>
          </cell>
        </row>
        <row r="497">
          <cell r="A497">
            <v>51860</v>
          </cell>
        </row>
        <row r="498">
          <cell r="A498">
            <v>51867</v>
          </cell>
        </row>
        <row r="499">
          <cell r="A499">
            <v>51914</v>
          </cell>
        </row>
        <row r="500">
          <cell r="A500">
            <v>51915</v>
          </cell>
        </row>
        <row r="501">
          <cell r="A501">
            <v>51960</v>
          </cell>
        </row>
        <row r="502">
          <cell r="A502">
            <v>51977</v>
          </cell>
        </row>
        <row r="503">
          <cell r="A503">
            <v>51987</v>
          </cell>
        </row>
        <row r="504">
          <cell r="A504">
            <v>52022</v>
          </cell>
        </row>
        <row r="505">
          <cell r="A505">
            <v>52116</v>
          </cell>
        </row>
        <row r="506">
          <cell r="A506">
            <v>52151</v>
          </cell>
        </row>
        <row r="507">
          <cell r="A507">
            <v>52172</v>
          </cell>
        </row>
        <row r="508">
          <cell r="A508">
            <v>52185</v>
          </cell>
        </row>
        <row r="509">
          <cell r="A509">
            <v>52225</v>
          </cell>
        </row>
        <row r="510">
          <cell r="A510">
            <v>52232</v>
          </cell>
        </row>
        <row r="511">
          <cell r="A511">
            <v>52271</v>
          </cell>
        </row>
        <row r="512">
          <cell r="A512">
            <v>52272</v>
          </cell>
        </row>
        <row r="513">
          <cell r="A513">
            <v>52317</v>
          </cell>
        </row>
        <row r="514">
          <cell r="A514">
            <v>52342</v>
          </cell>
        </row>
        <row r="515">
          <cell r="A515">
            <v>52352</v>
          </cell>
        </row>
        <row r="516">
          <cell r="A516">
            <v>52379</v>
          </cell>
        </row>
        <row r="517">
          <cell r="A517">
            <v>52481</v>
          </cell>
        </row>
        <row r="518">
          <cell r="A518">
            <v>52516</v>
          </cell>
        </row>
        <row r="519">
          <cell r="A519">
            <v>52537</v>
          </cell>
        </row>
        <row r="520">
          <cell r="A520">
            <v>52550</v>
          </cell>
        </row>
        <row r="521">
          <cell r="A521">
            <v>52590</v>
          </cell>
        </row>
        <row r="522">
          <cell r="A522">
            <v>52597</v>
          </cell>
        </row>
        <row r="523">
          <cell r="A523">
            <v>52656</v>
          </cell>
        </row>
        <row r="524">
          <cell r="A524">
            <v>52657</v>
          </cell>
        </row>
        <row r="525">
          <cell r="A525">
            <v>52702</v>
          </cell>
        </row>
        <row r="526">
          <cell r="A526">
            <v>52708</v>
          </cell>
        </row>
        <row r="527">
          <cell r="A527">
            <v>52718</v>
          </cell>
        </row>
        <row r="528">
          <cell r="A528">
            <v>52764</v>
          </cell>
        </row>
        <row r="529">
          <cell r="A529">
            <v>52847</v>
          </cell>
        </row>
        <row r="530">
          <cell r="A530">
            <v>52882</v>
          </cell>
        </row>
        <row r="531">
          <cell r="A531">
            <v>52903</v>
          </cell>
        </row>
        <row r="532">
          <cell r="A532">
            <v>52916</v>
          </cell>
        </row>
        <row r="533">
          <cell r="A533">
            <v>52956</v>
          </cell>
        </row>
        <row r="534">
          <cell r="A534">
            <v>52963</v>
          </cell>
        </row>
        <row r="535">
          <cell r="A535">
            <v>53013</v>
          </cell>
        </row>
        <row r="536">
          <cell r="A536">
            <v>53014</v>
          </cell>
        </row>
        <row r="537">
          <cell r="A537">
            <v>53059</v>
          </cell>
        </row>
        <row r="538">
          <cell r="A538">
            <v>53073</v>
          </cell>
        </row>
        <row r="539">
          <cell r="A539">
            <v>53083</v>
          </cell>
        </row>
        <row r="540">
          <cell r="A540">
            <v>53121</v>
          </cell>
        </row>
        <row r="541">
          <cell r="A541">
            <v>53212</v>
          </cell>
        </row>
        <row r="542">
          <cell r="A542">
            <v>53247</v>
          </cell>
        </row>
        <row r="543">
          <cell r="A543">
            <v>53268</v>
          </cell>
        </row>
        <row r="544">
          <cell r="A544">
            <v>53281</v>
          </cell>
        </row>
        <row r="545">
          <cell r="A545">
            <v>53321</v>
          </cell>
        </row>
        <row r="546">
          <cell r="A546">
            <v>53328</v>
          </cell>
        </row>
        <row r="547">
          <cell r="A547">
            <v>53363</v>
          </cell>
        </row>
        <row r="548">
          <cell r="A548">
            <v>53364</v>
          </cell>
        </row>
        <row r="549">
          <cell r="A549">
            <v>53409</v>
          </cell>
        </row>
        <row r="550">
          <cell r="A550">
            <v>53438</v>
          </cell>
        </row>
        <row r="551">
          <cell r="A551">
            <v>53448</v>
          </cell>
        </row>
        <row r="552">
          <cell r="A552">
            <v>53471</v>
          </cell>
        </row>
        <row r="553">
          <cell r="A553">
            <v>53577</v>
          </cell>
        </row>
        <row r="554">
          <cell r="A554">
            <v>53612</v>
          </cell>
        </row>
        <row r="555">
          <cell r="A555">
            <v>53633</v>
          </cell>
        </row>
        <row r="556">
          <cell r="A556">
            <v>53646</v>
          </cell>
        </row>
        <row r="557">
          <cell r="A557">
            <v>53686</v>
          </cell>
        </row>
        <row r="558">
          <cell r="A558">
            <v>53693</v>
          </cell>
        </row>
        <row r="559">
          <cell r="A559">
            <v>53748</v>
          </cell>
        </row>
        <row r="560">
          <cell r="A560">
            <v>53749</v>
          </cell>
        </row>
        <row r="561">
          <cell r="A561">
            <v>53794</v>
          </cell>
        </row>
        <row r="562">
          <cell r="A562">
            <v>53803</v>
          </cell>
        </row>
        <row r="563">
          <cell r="A563">
            <v>53813</v>
          </cell>
        </row>
        <row r="564">
          <cell r="A564">
            <v>53856</v>
          </cell>
        </row>
        <row r="565">
          <cell r="A565">
            <v>53942</v>
          </cell>
        </row>
        <row r="566">
          <cell r="A566">
            <v>53977</v>
          </cell>
        </row>
        <row r="567">
          <cell r="A567">
            <v>53998</v>
          </cell>
        </row>
        <row r="568">
          <cell r="A568">
            <v>54011</v>
          </cell>
        </row>
        <row r="569">
          <cell r="A569">
            <v>54051</v>
          </cell>
        </row>
        <row r="570">
          <cell r="A570">
            <v>54058</v>
          </cell>
        </row>
        <row r="571">
          <cell r="A571">
            <v>54105</v>
          </cell>
        </row>
        <row r="572">
          <cell r="A572">
            <v>54106</v>
          </cell>
        </row>
        <row r="573">
          <cell r="A573">
            <v>54151</v>
          </cell>
        </row>
        <row r="574">
          <cell r="A574">
            <v>54169</v>
          </cell>
        </row>
        <row r="575">
          <cell r="A575">
            <v>54179</v>
          </cell>
        </row>
        <row r="576">
          <cell r="A576">
            <v>54213</v>
          </cell>
        </row>
        <row r="577">
          <cell r="A577">
            <v>54308</v>
          </cell>
        </row>
        <row r="578">
          <cell r="A578">
            <v>54343</v>
          </cell>
        </row>
        <row r="579">
          <cell r="A579">
            <v>54364</v>
          </cell>
        </row>
        <row r="580">
          <cell r="A580">
            <v>54377</v>
          </cell>
        </row>
        <row r="581">
          <cell r="A581">
            <v>54417</v>
          </cell>
        </row>
        <row r="582">
          <cell r="A582">
            <v>54424</v>
          </cell>
        </row>
        <row r="583">
          <cell r="A583">
            <v>54483</v>
          </cell>
        </row>
        <row r="584">
          <cell r="A584">
            <v>54484</v>
          </cell>
        </row>
        <row r="585">
          <cell r="A585">
            <v>54529</v>
          </cell>
        </row>
        <row r="586">
          <cell r="A586">
            <v>54534</v>
          </cell>
        </row>
        <row r="587">
          <cell r="A587">
            <v>54544</v>
          </cell>
        </row>
        <row r="588">
          <cell r="A588">
            <v>54591</v>
          </cell>
        </row>
        <row r="589">
          <cell r="A589">
            <v>54673</v>
          </cell>
        </row>
        <row r="590">
          <cell r="A590">
            <v>54708</v>
          </cell>
        </row>
        <row r="591">
          <cell r="A591">
            <v>54729</v>
          </cell>
        </row>
        <row r="592">
          <cell r="A592">
            <v>54742</v>
          </cell>
        </row>
        <row r="593">
          <cell r="A593">
            <v>54782</v>
          </cell>
        </row>
        <row r="594">
          <cell r="A594">
            <v>54789</v>
          </cell>
        </row>
        <row r="595">
          <cell r="A595">
            <v>54840</v>
          </cell>
        </row>
        <row r="596">
          <cell r="A596">
            <v>54841</v>
          </cell>
        </row>
        <row r="597">
          <cell r="A597">
            <v>54886</v>
          </cell>
        </row>
        <row r="598">
          <cell r="A598">
            <v>54899</v>
          </cell>
        </row>
        <row r="599">
          <cell r="A599">
            <v>54909</v>
          </cell>
        </row>
        <row r="600">
          <cell r="A600">
            <v>54948</v>
          </cell>
        </row>
        <row r="601">
          <cell r="A601">
            <v>55038</v>
          </cell>
        </row>
        <row r="602">
          <cell r="A602">
            <v>55073</v>
          </cell>
        </row>
        <row r="603">
          <cell r="A603">
            <v>55094</v>
          </cell>
        </row>
        <row r="604">
          <cell r="A604">
            <v>55107</v>
          </cell>
        </row>
        <row r="605">
          <cell r="A605">
            <v>55147</v>
          </cell>
        </row>
        <row r="606">
          <cell r="A606">
            <v>55154</v>
          </cell>
        </row>
        <row r="607">
          <cell r="A607">
            <v>55197</v>
          </cell>
        </row>
        <row r="608">
          <cell r="A608">
            <v>55198</v>
          </cell>
        </row>
        <row r="609">
          <cell r="A609">
            <v>55243</v>
          </cell>
        </row>
        <row r="610">
          <cell r="A610">
            <v>55264</v>
          </cell>
        </row>
        <row r="611">
          <cell r="A611">
            <v>55274</v>
          </cell>
        </row>
        <row r="612">
          <cell r="A612">
            <v>55305</v>
          </cell>
        </row>
        <row r="613">
          <cell r="A613">
            <v>55403</v>
          </cell>
        </row>
        <row r="614">
          <cell r="A614">
            <v>55438</v>
          </cell>
        </row>
        <row r="615">
          <cell r="A615">
            <v>55459</v>
          </cell>
        </row>
        <row r="616">
          <cell r="A616">
            <v>55472</v>
          </cell>
        </row>
        <row r="617">
          <cell r="A617">
            <v>55512</v>
          </cell>
        </row>
        <row r="618">
          <cell r="A618">
            <v>55519</v>
          </cell>
        </row>
        <row r="619">
          <cell r="A619">
            <v>55582</v>
          </cell>
        </row>
        <row r="620">
          <cell r="A620">
            <v>55583</v>
          </cell>
        </row>
        <row r="621">
          <cell r="A621">
            <v>55628</v>
          </cell>
        </row>
        <row r="622">
          <cell r="A622">
            <v>55630</v>
          </cell>
        </row>
        <row r="623">
          <cell r="A623">
            <v>55640</v>
          </cell>
        </row>
        <row r="624">
          <cell r="A624">
            <v>55690</v>
          </cell>
        </row>
        <row r="625">
          <cell r="A625">
            <v>55769</v>
          </cell>
        </row>
        <row r="626">
          <cell r="A626">
            <v>55804</v>
          </cell>
        </row>
        <row r="627">
          <cell r="A627">
            <v>55825</v>
          </cell>
        </row>
        <row r="628">
          <cell r="A628">
            <v>55838</v>
          </cell>
        </row>
        <row r="629">
          <cell r="A629">
            <v>55878</v>
          </cell>
        </row>
        <row r="630">
          <cell r="A630">
            <v>55885</v>
          </cell>
        </row>
        <row r="631">
          <cell r="A631">
            <v>55932</v>
          </cell>
        </row>
        <row r="632">
          <cell r="A632">
            <v>55933</v>
          </cell>
        </row>
        <row r="633">
          <cell r="A633">
            <v>55978</v>
          </cell>
        </row>
        <row r="634">
          <cell r="A634">
            <v>55995</v>
          </cell>
        </row>
        <row r="635">
          <cell r="A635">
            <v>56005</v>
          </cell>
        </row>
        <row r="636">
          <cell r="A636">
            <v>56040</v>
          </cell>
        </row>
        <row r="637">
          <cell r="A637">
            <v>56134</v>
          </cell>
        </row>
        <row r="638">
          <cell r="A638">
            <v>56169</v>
          </cell>
        </row>
        <row r="639">
          <cell r="A639">
            <v>56190</v>
          </cell>
        </row>
        <row r="640">
          <cell r="A640">
            <v>56203</v>
          </cell>
        </row>
        <row r="641">
          <cell r="A641">
            <v>56243</v>
          </cell>
        </row>
        <row r="642">
          <cell r="A642">
            <v>56250</v>
          </cell>
        </row>
        <row r="643">
          <cell r="A643">
            <v>56289</v>
          </cell>
        </row>
        <row r="644">
          <cell r="A644">
            <v>56290</v>
          </cell>
        </row>
        <row r="645">
          <cell r="A645">
            <v>56335</v>
          </cell>
        </row>
        <row r="646">
          <cell r="A646">
            <v>56360</v>
          </cell>
        </row>
        <row r="647">
          <cell r="A647">
            <v>56370</v>
          </cell>
        </row>
        <row r="648">
          <cell r="A648">
            <v>56397</v>
          </cell>
        </row>
        <row r="649">
          <cell r="A649">
            <v>56499</v>
          </cell>
        </row>
        <row r="650">
          <cell r="A650">
            <v>56534</v>
          </cell>
        </row>
        <row r="651">
          <cell r="A651">
            <v>56555</v>
          </cell>
        </row>
        <row r="652">
          <cell r="A652">
            <v>56568</v>
          </cell>
        </row>
        <row r="653">
          <cell r="A653">
            <v>56608</v>
          </cell>
        </row>
        <row r="654">
          <cell r="A654">
            <v>56615</v>
          </cell>
        </row>
        <row r="655">
          <cell r="A655">
            <v>56674</v>
          </cell>
        </row>
        <row r="656">
          <cell r="A656">
            <v>56675</v>
          </cell>
        </row>
        <row r="657">
          <cell r="A657">
            <v>56720</v>
          </cell>
        </row>
        <row r="658">
          <cell r="A658">
            <v>56725</v>
          </cell>
        </row>
        <row r="659">
          <cell r="A659">
            <v>56735</v>
          </cell>
        </row>
        <row r="660">
          <cell r="A660">
            <v>56782</v>
          </cell>
        </row>
        <row r="661">
          <cell r="A661">
            <v>56864</v>
          </cell>
        </row>
        <row r="662">
          <cell r="A662">
            <v>56899</v>
          </cell>
        </row>
        <row r="663">
          <cell r="A663">
            <v>56920</v>
          </cell>
        </row>
        <row r="664">
          <cell r="A664">
            <v>56933</v>
          </cell>
        </row>
        <row r="665">
          <cell r="A665">
            <v>56973</v>
          </cell>
        </row>
        <row r="666">
          <cell r="A666">
            <v>56980</v>
          </cell>
        </row>
        <row r="667">
          <cell r="A667">
            <v>57024</v>
          </cell>
        </row>
        <row r="668">
          <cell r="A668">
            <v>57025</v>
          </cell>
        </row>
        <row r="669">
          <cell r="A669">
            <v>57070</v>
          </cell>
        </row>
        <row r="670">
          <cell r="A670">
            <v>57091</v>
          </cell>
        </row>
        <row r="671">
          <cell r="A671">
            <v>57101</v>
          </cell>
        </row>
        <row r="672">
          <cell r="A672">
            <v>57132</v>
          </cell>
        </row>
        <row r="673">
          <cell r="A673">
            <v>57230</v>
          </cell>
        </row>
        <row r="674">
          <cell r="A674">
            <v>57265</v>
          </cell>
        </row>
        <row r="675">
          <cell r="A675">
            <v>57286</v>
          </cell>
        </row>
        <row r="676">
          <cell r="A676">
            <v>57299</v>
          </cell>
        </row>
        <row r="677">
          <cell r="A677">
            <v>57339</v>
          </cell>
        </row>
        <row r="678">
          <cell r="A678">
            <v>57346</v>
          </cell>
        </row>
        <row r="679">
          <cell r="A679">
            <v>57409</v>
          </cell>
        </row>
        <row r="680">
          <cell r="A680">
            <v>57410</v>
          </cell>
        </row>
        <row r="681">
          <cell r="A681">
            <v>57455</v>
          </cell>
        </row>
        <row r="682">
          <cell r="A682">
            <v>57456</v>
          </cell>
        </row>
        <row r="683">
          <cell r="A683">
            <v>57466</v>
          </cell>
        </row>
        <row r="684">
          <cell r="A684">
            <v>57517</v>
          </cell>
        </row>
        <row r="685">
          <cell r="A685">
            <v>57595</v>
          </cell>
        </row>
        <row r="686">
          <cell r="A686">
            <v>57630</v>
          </cell>
        </row>
        <row r="687">
          <cell r="A687">
            <v>57651</v>
          </cell>
        </row>
        <row r="688">
          <cell r="A688">
            <v>57664</v>
          </cell>
        </row>
        <row r="689">
          <cell r="A689">
            <v>57704</v>
          </cell>
        </row>
        <row r="690">
          <cell r="A690">
            <v>57711</v>
          </cell>
        </row>
        <row r="691">
          <cell r="A691">
            <v>57766</v>
          </cell>
        </row>
        <row r="692">
          <cell r="A692">
            <v>57767</v>
          </cell>
        </row>
        <row r="693">
          <cell r="A693">
            <v>57812</v>
          </cell>
        </row>
        <row r="694">
          <cell r="A694">
            <v>57821</v>
          </cell>
        </row>
        <row r="695">
          <cell r="A695">
            <v>57831</v>
          </cell>
        </row>
        <row r="696">
          <cell r="A696">
            <v>57874</v>
          </cell>
        </row>
        <row r="697">
          <cell r="A697">
            <v>57960</v>
          </cell>
        </row>
        <row r="698">
          <cell r="A698">
            <v>57995</v>
          </cell>
        </row>
        <row r="699">
          <cell r="A699">
            <v>58016</v>
          </cell>
        </row>
        <row r="700">
          <cell r="A700">
            <v>58029</v>
          </cell>
        </row>
        <row r="701">
          <cell r="A701">
            <v>58069</v>
          </cell>
        </row>
        <row r="702">
          <cell r="A702">
            <v>58076</v>
          </cell>
        </row>
        <row r="703">
          <cell r="A703">
            <v>58116</v>
          </cell>
        </row>
        <row r="704">
          <cell r="A704">
            <v>58117</v>
          </cell>
        </row>
        <row r="705">
          <cell r="A705">
            <v>58162</v>
          </cell>
        </row>
        <row r="706">
          <cell r="A706">
            <v>58186</v>
          </cell>
        </row>
        <row r="707">
          <cell r="A707">
            <v>58196</v>
          </cell>
        </row>
        <row r="708">
          <cell r="A708">
            <v>58224</v>
          </cell>
        </row>
        <row r="709">
          <cell r="A709">
            <v>58325</v>
          </cell>
        </row>
        <row r="710">
          <cell r="A710">
            <v>58360</v>
          </cell>
        </row>
        <row r="711">
          <cell r="A711">
            <v>58381</v>
          </cell>
        </row>
        <row r="712">
          <cell r="A712">
            <v>58394</v>
          </cell>
        </row>
        <row r="713">
          <cell r="A713">
            <v>58434</v>
          </cell>
        </row>
        <row r="714">
          <cell r="A714">
            <v>58441</v>
          </cell>
        </row>
        <row r="715">
          <cell r="A715">
            <v>58501</v>
          </cell>
        </row>
        <row r="716">
          <cell r="A716">
            <v>58502</v>
          </cell>
        </row>
        <row r="717">
          <cell r="A717">
            <v>58547</v>
          </cell>
        </row>
        <row r="718">
          <cell r="A718">
            <v>58552</v>
          </cell>
        </row>
        <row r="719">
          <cell r="A719">
            <v>58562</v>
          </cell>
        </row>
        <row r="720">
          <cell r="A720">
            <v>58609</v>
          </cell>
        </row>
        <row r="721">
          <cell r="A721">
            <v>58691</v>
          </cell>
        </row>
        <row r="722">
          <cell r="A722">
            <v>58726</v>
          </cell>
        </row>
        <row r="723">
          <cell r="A723">
            <v>58747</v>
          </cell>
        </row>
        <row r="724">
          <cell r="A724">
            <v>58760</v>
          </cell>
        </row>
        <row r="725">
          <cell r="A725">
            <v>58800</v>
          </cell>
        </row>
        <row r="726">
          <cell r="A726">
            <v>58807</v>
          </cell>
        </row>
        <row r="727">
          <cell r="A727">
            <v>58858</v>
          </cell>
        </row>
        <row r="728">
          <cell r="A728">
            <v>58859</v>
          </cell>
        </row>
        <row r="729">
          <cell r="A729">
            <v>58904</v>
          </cell>
        </row>
        <row r="730">
          <cell r="A730">
            <v>58917</v>
          </cell>
        </row>
        <row r="731">
          <cell r="A731">
            <v>58927</v>
          </cell>
        </row>
        <row r="732">
          <cell r="A732">
            <v>58966</v>
          </cell>
        </row>
        <row r="733">
          <cell r="A733">
            <v>59056</v>
          </cell>
        </row>
        <row r="734">
          <cell r="A734">
            <v>59091</v>
          </cell>
        </row>
        <row r="735">
          <cell r="A735">
            <v>59112</v>
          </cell>
        </row>
        <row r="736">
          <cell r="A736">
            <v>59125</v>
          </cell>
        </row>
        <row r="737">
          <cell r="A737">
            <v>59165</v>
          </cell>
        </row>
        <row r="738">
          <cell r="A738">
            <v>59172</v>
          </cell>
        </row>
        <row r="739">
          <cell r="A739">
            <v>59208</v>
          </cell>
        </row>
        <row r="740">
          <cell r="A740">
            <v>59209</v>
          </cell>
        </row>
        <row r="741">
          <cell r="A741">
            <v>59254</v>
          </cell>
        </row>
        <row r="742">
          <cell r="A742">
            <v>59282</v>
          </cell>
        </row>
        <row r="743">
          <cell r="A743">
            <v>59292</v>
          </cell>
        </row>
        <row r="744">
          <cell r="A744">
            <v>59316</v>
          </cell>
        </row>
        <row r="745">
          <cell r="A745">
            <v>59421</v>
          </cell>
        </row>
        <row r="746">
          <cell r="A746">
            <v>59456</v>
          </cell>
        </row>
        <row r="747">
          <cell r="A747">
            <v>59477</v>
          </cell>
        </row>
        <row r="748">
          <cell r="A748">
            <v>59490</v>
          </cell>
        </row>
        <row r="749">
          <cell r="A749">
            <v>59530</v>
          </cell>
        </row>
        <row r="750">
          <cell r="A750">
            <v>59537</v>
          </cell>
        </row>
        <row r="751">
          <cell r="A751">
            <v>59593</v>
          </cell>
        </row>
        <row r="752">
          <cell r="A752">
            <v>59594</v>
          </cell>
        </row>
        <row r="753">
          <cell r="A753">
            <v>59639</v>
          </cell>
        </row>
        <row r="754">
          <cell r="A754">
            <v>59647</v>
          </cell>
        </row>
        <row r="755">
          <cell r="A755">
            <v>59657</v>
          </cell>
        </row>
        <row r="756">
          <cell r="A756">
            <v>59701</v>
          </cell>
        </row>
        <row r="757">
          <cell r="A757">
            <v>59786</v>
          </cell>
        </row>
        <row r="758">
          <cell r="A758">
            <v>59821</v>
          </cell>
        </row>
        <row r="759">
          <cell r="A759">
            <v>59842</v>
          </cell>
        </row>
        <row r="760">
          <cell r="A760">
            <v>59855</v>
          </cell>
        </row>
        <row r="761">
          <cell r="A761">
            <v>59895</v>
          </cell>
        </row>
        <row r="762">
          <cell r="A762">
            <v>59902</v>
          </cell>
        </row>
        <row r="763">
          <cell r="A763">
            <v>59950</v>
          </cell>
        </row>
        <row r="764">
          <cell r="A764">
            <v>59951</v>
          </cell>
        </row>
        <row r="765">
          <cell r="A765">
            <v>59996</v>
          </cell>
        </row>
        <row r="766">
          <cell r="A766">
            <v>60013</v>
          </cell>
        </row>
        <row r="767">
          <cell r="A767">
            <v>60023</v>
          </cell>
        </row>
        <row r="768">
          <cell r="A768">
            <v>60058</v>
          </cell>
        </row>
        <row r="769">
          <cell r="A769">
            <v>60152</v>
          </cell>
        </row>
        <row r="770">
          <cell r="A770">
            <v>60187</v>
          </cell>
        </row>
        <row r="771">
          <cell r="A771">
            <v>60208</v>
          </cell>
        </row>
        <row r="772">
          <cell r="A772">
            <v>60221</v>
          </cell>
        </row>
        <row r="773">
          <cell r="A773">
            <v>60261</v>
          </cell>
        </row>
        <row r="774">
          <cell r="A774">
            <v>60268</v>
          </cell>
        </row>
        <row r="775">
          <cell r="A775">
            <v>60307</v>
          </cell>
        </row>
        <row r="776">
          <cell r="A776">
            <v>60308</v>
          </cell>
        </row>
        <row r="777">
          <cell r="A777">
            <v>60353</v>
          </cell>
        </row>
        <row r="778">
          <cell r="A778">
            <v>60378</v>
          </cell>
        </row>
        <row r="779">
          <cell r="A779">
            <v>60388</v>
          </cell>
        </row>
        <row r="780">
          <cell r="A780">
            <v>60415</v>
          </cell>
        </row>
        <row r="781">
          <cell r="A781">
            <v>60517</v>
          </cell>
        </row>
        <row r="782">
          <cell r="A782">
            <v>60552</v>
          </cell>
        </row>
        <row r="783">
          <cell r="A783">
            <v>60573</v>
          </cell>
        </row>
        <row r="784">
          <cell r="A784">
            <v>60586</v>
          </cell>
        </row>
        <row r="785">
          <cell r="A785">
            <v>60626</v>
          </cell>
        </row>
        <row r="786">
          <cell r="A786">
            <v>60633</v>
          </cell>
        </row>
        <row r="787">
          <cell r="A787">
            <v>60685</v>
          </cell>
        </row>
        <row r="788">
          <cell r="A788">
            <v>60686</v>
          </cell>
        </row>
        <row r="789">
          <cell r="A789">
            <v>60731</v>
          </cell>
        </row>
        <row r="790">
          <cell r="A790">
            <v>60743</v>
          </cell>
        </row>
        <row r="791">
          <cell r="A791">
            <v>60753</v>
          </cell>
        </row>
        <row r="792">
          <cell r="A792">
            <v>60793</v>
          </cell>
        </row>
        <row r="793">
          <cell r="A793">
            <v>60882</v>
          </cell>
        </row>
        <row r="794">
          <cell r="A794">
            <v>60917</v>
          </cell>
        </row>
        <row r="795">
          <cell r="A795">
            <v>60938</v>
          </cell>
        </row>
        <row r="796">
          <cell r="A796">
            <v>60951</v>
          </cell>
        </row>
        <row r="797">
          <cell r="A797">
            <v>60991</v>
          </cell>
        </row>
        <row r="798">
          <cell r="A798">
            <v>60998</v>
          </cell>
        </row>
        <row r="799">
          <cell r="A799">
            <v>61042</v>
          </cell>
        </row>
        <row r="800">
          <cell r="A800">
            <v>61043</v>
          </cell>
        </row>
        <row r="801">
          <cell r="A801">
            <v>61088</v>
          </cell>
        </row>
        <row r="802">
          <cell r="A802">
            <v>61108</v>
          </cell>
        </row>
        <row r="803">
          <cell r="A803">
            <v>61118</v>
          </cell>
        </row>
        <row r="804">
          <cell r="A804">
            <v>61150</v>
          </cell>
        </row>
        <row r="805">
          <cell r="A805">
            <v>61247</v>
          </cell>
        </row>
        <row r="806">
          <cell r="A806">
            <v>61282</v>
          </cell>
        </row>
        <row r="807">
          <cell r="A807">
            <v>61303</v>
          </cell>
        </row>
        <row r="808">
          <cell r="A808">
            <v>61316</v>
          </cell>
        </row>
        <row r="809">
          <cell r="A809">
            <v>61356</v>
          </cell>
        </row>
        <row r="810">
          <cell r="A810">
            <v>61363</v>
          </cell>
        </row>
        <row r="811">
          <cell r="A811">
            <v>61427</v>
          </cell>
        </row>
        <row r="812">
          <cell r="A812">
            <v>61428</v>
          </cell>
        </row>
        <row r="813">
          <cell r="A813">
            <v>61473</v>
          </cell>
        </row>
        <row r="814">
          <cell r="A814">
            <v>61474</v>
          </cell>
        </row>
        <row r="815">
          <cell r="A815">
            <v>61484</v>
          </cell>
        </row>
        <row r="816">
          <cell r="A816">
            <v>61535</v>
          </cell>
        </row>
        <row r="817">
          <cell r="A817">
            <v>61613</v>
          </cell>
        </row>
        <row r="818">
          <cell r="A818">
            <v>61648</v>
          </cell>
        </row>
        <row r="819">
          <cell r="A819">
            <v>61669</v>
          </cell>
        </row>
        <row r="820">
          <cell r="A820">
            <v>61682</v>
          </cell>
        </row>
        <row r="821">
          <cell r="A821">
            <v>61722</v>
          </cell>
        </row>
        <row r="822">
          <cell r="A822">
            <v>61729</v>
          </cell>
        </row>
        <row r="823">
          <cell r="A823">
            <v>61784</v>
          </cell>
        </row>
        <row r="824">
          <cell r="A824">
            <v>61785</v>
          </cell>
        </row>
        <row r="825">
          <cell r="A825">
            <v>61830</v>
          </cell>
        </row>
        <row r="826">
          <cell r="A826">
            <v>61839</v>
          </cell>
        </row>
        <row r="827">
          <cell r="A827">
            <v>61849</v>
          </cell>
        </row>
        <row r="828">
          <cell r="A828">
            <v>61892</v>
          </cell>
        </row>
        <row r="829">
          <cell r="A829">
            <v>61978</v>
          </cell>
        </row>
        <row r="830">
          <cell r="A830">
            <v>62013</v>
          </cell>
        </row>
        <row r="831">
          <cell r="A831">
            <v>62034</v>
          </cell>
        </row>
        <row r="832">
          <cell r="A832">
            <v>62047</v>
          </cell>
        </row>
        <row r="833">
          <cell r="A833">
            <v>62087</v>
          </cell>
        </row>
        <row r="834">
          <cell r="A834">
            <v>62094</v>
          </cell>
        </row>
        <row r="835">
          <cell r="A835">
            <v>62134</v>
          </cell>
        </row>
        <row r="836">
          <cell r="A836">
            <v>62135</v>
          </cell>
        </row>
        <row r="837">
          <cell r="A837">
            <v>62180</v>
          </cell>
        </row>
        <row r="838">
          <cell r="A838">
            <v>62204</v>
          </cell>
        </row>
        <row r="839">
          <cell r="A839">
            <v>62214</v>
          </cell>
        </row>
        <row r="840">
          <cell r="A840">
            <v>62242</v>
          </cell>
        </row>
        <row r="841">
          <cell r="A841">
            <v>62343</v>
          </cell>
        </row>
        <row r="842">
          <cell r="A842">
            <v>62378</v>
          </cell>
        </row>
        <row r="843">
          <cell r="A843">
            <v>62399</v>
          </cell>
        </row>
        <row r="844">
          <cell r="A844">
            <v>62412</v>
          </cell>
        </row>
        <row r="845">
          <cell r="A845">
            <v>62452</v>
          </cell>
        </row>
        <row r="846">
          <cell r="A846">
            <v>62459</v>
          </cell>
        </row>
        <row r="847">
          <cell r="A847">
            <v>62519</v>
          </cell>
        </row>
        <row r="848">
          <cell r="A848">
            <v>62520</v>
          </cell>
        </row>
        <row r="849">
          <cell r="A849">
            <v>62565</v>
          </cell>
        </row>
        <row r="850">
          <cell r="A850">
            <v>62569</v>
          </cell>
        </row>
        <row r="851">
          <cell r="A851">
            <v>62579</v>
          </cell>
        </row>
        <row r="852">
          <cell r="A852">
            <v>62627</v>
          </cell>
        </row>
        <row r="853">
          <cell r="A853">
            <v>62708</v>
          </cell>
        </row>
        <row r="854">
          <cell r="A854">
            <v>62743</v>
          </cell>
        </row>
        <row r="855">
          <cell r="A855">
            <v>62764</v>
          </cell>
        </row>
        <row r="856">
          <cell r="A856">
            <v>62777</v>
          </cell>
        </row>
        <row r="857">
          <cell r="A857">
            <v>62817</v>
          </cell>
        </row>
        <row r="858">
          <cell r="A858">
            <v>62824</v>
          </cell>
        </row>
        <row r="859">
          <cell r="A859">
            <v>62876</v>
          </cell>
        </row>
        <row r="860">
          <cell r="A860">
            <v>62877</v>
          </cell>
        </row>
        <row r="861">
          <cell r="A861">
            <v>62922</v>
          </cell>
        </row>
        <row r="862">
          <cell r="A862">
            <v>62935</v>
          </cell>
        </row>
        <row r="863">
          <cell r="A863">
            <v>62945</v>
          </cell>
        </row>
        <row r="864">
          <cell r="A864">
            <v>62984</v>
          </cell>
        </row>
        <row r="865">
          <cell r="A865">
            <v>63074</v>
          </cell>
        </row>
        <row r="866">
          <cell r="A866">
            <v>63109</v>
          </cell>
        </row>
        <row r="867">
          <cell r="A867">
            <v>63130</v>
          </cell>
        </row>
        <row r="868">
          <cell r="A868">
            <v>63143</v>
          </cell>
        </row>
        <row r="869">
          <cell r="A869">
            <v>63183</v>
          </cell>
        </row>
        <row r="870">
          <cell r="A870">
            <v>63190</v>
          </cell>
        </row>
        <row r="871">
          <cell r="A871">
            <v>63226</v>
          </cell>
        </row>
        <row r="872">
          <cell r="A872">
            <v>63227</v>
          </cell>
        </row>
        <row r="873">
          <cell r="A873">
            <v>63272</v>
          </cell>
        </row>
        <row r="874">
          <cell r="A874">
            <v>63300</v>
          </cell>
        </row>
        <row r="875">
          <cell r="A875">
            <v>63310</v>
          </cell>
        </row>
        <row r="876">
          <cell r="A876">
            <v>63334</v>
          </cell>
        </row>
        <row r="877">
          <cell r="A877">
            <v>63439</v>
          </cell>
        </row>
        <row r="878">
          <cell r="A878">
            <v>63474</v>
          </cell>
        </row>
        <row r="879">
          <cell r="A879">
            <v>63495</v>
          </cell>
        </row>
        <row r="880">
          <cell r="A880">
            <v>63508</v>
          </cell>
        </row>
        <row r="881">
          <cell r="A881">
            <v>63548</v>
          </cell>
        </row>
        <row r="882">
          <cell r="A882">
            <v>63555</v>
          </cell>
        </row>
        <row r="883">
          <cell r="A883">
            <v>63611</v>
          </cell>
        </row>
        <row r="884">
          <cell r="A884">
            <v>63612</v>
          </cell>
        </row>
        <row r="885">
          <cell r="A885">
            <v>63657</v>
          </cell>
        </row>
        <row r="886">
          <cell r="A886">
            <v>63665</v>
          </cell>
        </row>
        <row r="887">
          <cell r="A887">
            <v>63675</v>
          </cell>
        </row>
        <row r="888">
          <cell r="A888">
            <v>63719</v>
          </cell>
        </row>
        <row r="889">
          <cell r="A889">
            <v>63804</v>
          </cell>
        </row>
        <row r="890">
          <cell r="A890">
            <v>63839</v>
          </cell>
        </row>
        <row r="891">
          <cell r="A891">
            <v>63860</v>
          </cell>
        </row>
        <row r="892">
          <cell r="A892">
            <v>63873</v>
          </cell>
        </row>
        <row r="893">
          <cell r="A893">
            <v>63913</v>
          </cell>
        </row>
        <row r="894">
          <cell r="A894">
            <v>63920</v>
          </cell>
        </row>
        <row r="895">
          <cell r="A895">
            <v>63968</v>
          </cell>
        </row>
        <row r="896">
          <cell r="A896">
            <v>63969</v>
          </cell>
        </row>
        <row r="897">
          <cell r="A897">
            <v>64014</v>
          </cell>
        </row>
        <row r="898">
          <cell r="A898">
            <v>64030</v>
          </cell>
        </row>
        <row r="899">
          <cell r="A899">
            <v>64040</v>
          </cell>
        </row>
        <row r="900">
          <cell r="A900">
            <v>64076</v>
          </cell>
        </row>
        <row r="901">
          <cell r="A901">
            <v>64169</v>
          </cell>
        </row>
        <row r="902">
          <cell r="A902">
            <v>64204</v>
          </cell>
        </row>
        <row r="903">
          <cell r="A903">
            <v>64225</v>
          </cell>
        </row>
        <row r="904">
          <cell r="A904">
            <v>64238</v>
          </cell>
        </row>
        <row r="905">
          <cell r="A905">
            <v>64278</v>
          </cell>
        </row>
        <row r="906">
          <cell r="A906">
            <v>64285</v>
          </cell>
        </row>
        <row r="907">
          <cell r="A907">
            <v>64346</v>
          </cell>
        </row>
        <row r="908">
          <cell r="A908">
            <v>64347</v>
          </cell>
        </row>
        <row r="909">
          <cell r="A909">
            <v>64392</v>
          </cell>
        </row>
        <row r="910">
          <cell r="A910">
            <v>64396</v>
          </cell>
        </row>
        <row r="911">
          <cell r="A911">
            <v>64406</v>
          </cell>
        </row>
        <row r="912">
          <cell r="A912">
            <v>64454</v>
          </cell>
        </row>
        <row r="913">
          <cell r="A913">
            <v>64535</v>
          </cell>
        </row>
        <row r="914">
          <cell r="A914">
            <v>64570</v>
          </cell>
        </row>
        <row r="915">
          <cell r="A915">
            <v>64591</v>
          </cell>
        </row>
        <row r="916">
          <cell r="A916">
            <v>64604</v>
          </cell>
        </row>
        <row r="917">
          <cell r="A917">
            <v>64644</v>
          </cell>
        </row>
        <row r="918">
          <cell r="A918">
            <v>64651</v>
          </cell>
        </row>
        <row r="919">
          <cell r="A919">
            <v>64703</v>
          </cell>
        </row>
        <row r="920">
          <cell r="A920">
            <v>64704</v>
          </cell>
        </row>
        <row r="921">
          <cell r="A921">
            <v>64749</v>
          </cell>
        </row>
        <row r="922">
          <cell r="A922">
            <v>64761</v>
          </cell>
        </row>
        <row r="923">
          <cell r="A923">
            <v>64771</v>
          </cell>
        </row>
        <row r="924">
          <cell r="A924">
            <v>64811</v>
          </cell>
        </row>
        <row r="925">
          <cell r="A925">
            <v>64900</v>
          </cell>
        </row>
        <row r="926">
          <cell r="A926">
            <v>64935</v>
          </cell>
        </row>
        <row r="927">
          <cell r="A927">
            <v>64956</v>
          </cell>
        </row>
        <row r="928">
          <cell r="A928">
            <v>64969</v>
          </cell>
        </row>
        <row r="929">
          <cell r="A929">
            <v>65009</v>
          </cell>
        </row>
        <row r="930">
          <cell r="A930">
            <v>65016</v>
          </cell>
        </row>
        <row r="931">
          <cell r="A931">
            <v>65060</v>
          </cell>
        </row>
        <row r="932">
          <cell r="A932">
            <v>65061</v>
          </cell>
        </row>
        <row r="933">
          <cell r="A933">
            <v>65106</v>
          </cell>
        </row>
        <row r="934">
          <cell r="A934">
            <v>65126</v>
          </cell>
        </row>
        <row r="935">
          <cell r="A935">
            <v>65136</v>
          </cell>
        </row>
        <row r="936">
          <cell r="A936">
            <v>65168</v>
          </cell>
        </row>
        <row r="937">
          <cell r="A937">
            <v>65265</v>
          </cell>
        </row>
        <row r="938">
          <cell r="A938">
            <v>65300</v>
          </cell>
        </row>
        <row r="939">
          <cell r="A939">
            <v>65321</v>
          </cell>
        </row>
        <row r="940">
          <cell r="A940">
            <v>65334</v>
          </cell>
        </row>
        <row r="941">
          <cell r="A941">
            <v>65374</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Überweisung Bardepot"/>
      <sheetName val="BB"/>
      <sheetName val="Anforderung Englisch"/>
      <sheetName val="Anforderung Bardepot"/>
      <sheetName val="Monate-englisch"/>
      <sheetName val="Unterschriftsberechtigungen"/>
      <sheetName val="Mitteilung an AGL"/>
      <sheetName val="ABS5a_2003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BB"/>
      <sheetName val="Anforderung Englisch"/>
      <sheetName val="Anforderung Bardepot"/>
      <sheetName val="Monate-englisch"/>
      <sheetName val="Unterschriftsberechtigungen"/>
      <sheetName val="Mitteilung an AGL"/>
      <sheetName val="ABS5a_2003_09"/>
      <sheetName val="#BEZUG"/>
    </sheetNames>
    <definedNames>
      <definedName name="MSR_Report_Euro"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V_EINGABEBLATT"/>
      <sheetName val="Monthly Übersicht"/>
      <sheetName val="Engl.Version Übersicht "/>
      <sheetName val="Monthly Abwicklung"/>
      <sheetName val="Engl.Version Abwicklung "/>
      <sheetName val="Monthly Abwicklung-Insolvenzen"/>
      <sheetName val="Engl.Version Insolvenzen "/>
      <sheetName val="Abstimmung Bardepotkonto"/>
      <sheetName val="Geldanlage Bardepot lt. ABN AMR"/>
      <sheetName val="Kontrolle"/>
      <sheetName val="Proberechnung Investoren"/>
      <sheetName val="ABS_EINGABEN"/>
      <sheetName val="Proberechnung"/>
      <sheetName val="ABN-Überweisung Ausschüttung"/>
      <sheetName val="Überweisung Bardepot"/>
      <sheetName val="BB"/>
      <sheetName val="Anforderung Englisch"/>
      <sheetName val="Anforderung Bardepot"/>
      <sheetName val="Monate-englisch"/>
      <sheetName val="Unterschriftsberechtigungen"/>
      <sheetName val="Mitteilung an AGL"/>
      <sheetName val="ABS5a_2003_11"/>
      <sheetName val="#BEZUG"/>
    </sheetNames>
    <sheetDataSet>
      <sheetData sheetId="0" refreshError="1"/>
      <sheetData sheetId="1" refreshError="1"/>
      <sheetData sheetId="2" refreshError="1"/>
      <sheetData sheetId="3" refreshError="1">
        <row r="30">
          <cell r="F30">
            <v>3083435.62</v>
          </cell>
        </row>
        <row r="42">
          <cell r="C42">
            <v>802669.62</v>
          </cell>
          <cell r="D42">
            <v>26834365.059999999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2" name="Tabelle2" displayName="Tabelle2" ref="A7:B32" totalsRowShown="0" headerRowDxfId="402" dataDxfId="401" tableBorderDxfId="400" dataCellStyle="Hyperlink">
  <tableColumns count="2">
    <tableColumn id="1" name="Page" dataDxfId="399"/>
    <tableColumn id="2" name="Table of Contents" dataDxfId="398" dataCellStyle="Hyperlink"/>
  </tableColumns>
  <tableStyleInfo name="TableStyleMedium16 2" showFirstColumn="0" showLastColumn="0" showRowStripes="1" showColumnStripes="0"/>
</table>
</file>

<file path=xl/tables/table2.xml><?xml version="1.0" encoding="utf-8"?>
<table xmlns="http://schemas.openxmlformats.org/spreadsheetml/2006/main" id="4" name="Tabelle4" displayName="Tabelle4" ref="A16:E19" totalsRowShown="0" headerRowDxfId="397" dataDxfId="396">
  <tableColumns count="5">
    <tableColumn id="1" name="Type of Car at Pool Cut" dataDxfId="395"/>
    <tableColumn id="2" name="Number of Contracts" dataDxfId="394">
      <calculatedColumnFormula>SUM(B16:B16)</calculatedColumnFormula>
    </tableColumn>
    <tableColumn id="3" name="Percentage of Contracts" dataDxfId="393"/>
    <tableColumn id="4" name="Outstanding Discounted Principal Balance" dataDxfId="392"/>
    <tableColumn id="5" name="Percentage Outstanding Discounted Principal Balance" dataDxfId="391">
      <calculatedColumnFormula>+Tabelle4[[#This Row],[Outstanding Discounted Principal Balance]]/$D$19</calculatedColumnFormula>
    </tableColumn>
  </tableColumns>
  <tableStyleInfo name="TableStyleMedium16 2" showFirstColumn="0" showLastColumn="0" showRowStripes="1" showColumnStripes="0"/>
</table>
</file>

<file path=xl/tables/table3.xml><?xml version="1.0" encoding="utf-8"?>
<table xmlns="http://schemas.openxmlformats.org/spreadsheetml/2006/main" id="41" name="Tabelle41" displayName="Tabelle41" ref="A21:E23" totalsRowShown="0" headerRowDxfId="390" dataDxfId="388" headerRowBorderDxfId="389" tableBorderDxfId="387">
  <tableColumns count="5">
    <tableColumn id="1" name="Type of Customer at Pool Cut" dataDxfId="386"/>
    <tableColumn id="2" name="Number of Contracts" dataDxfId="385"/>
    <tableColumn id="3" name="Percentage of Contracts" dataDxfId="384" dataCellStyle="Percent">
      <calculatedColumnFormula>+Tabelle41[[#This Row],[Number of Contracts]]/$B$24</calculatedColumnFormula>
    </tableColumn>
    <tableColumn id="4" name="Outstanding Discounted Principal Balance" dataDxfId="383"/>
    <tableColumn id="5" name="Percentage Outstanding Discounted Principal Balance" dataDxfId="382" dataCellStyle="Percent">
      <calculatedColumnFormula>+Tabelle41[[#This Row],[Outstanding Discounted Principal Balance]]/$D$24</calculatedColumnFormula>
    </tableColumn>
  </tableColumns>
  <tableStyleInfo name="TableStyleMedium16 2" showFirstColumn="0" showLastColumn="0" showRowStripes="1" showColumnStripes="0"/>
</table>
</file>

<file path=xl/tables/table4.xml><?xml version="1.0" encoding="utf-8"?>
<table xmlns="http://schemas.openxmlformats.org/spreadsheetml/2006/main" id="52" name="Tabelle52" displayName="Tabelle52" ref="C8:N10" totalsRowShown="0" headerRowDxfId="379" dataDxfId="378" tableBorderDxfId="377">
  <tableColumns count="12">
    <tableColumn id="1" name="Column1" dataDxfId="376"/>
    <tableColumn id="2" name="Column2" dataDxfId="375"/>
    <tableColumn id="3" name="Column3" dataDxfId="374"/>
    <tableColumn id="4" name="Long Term2" dataDxfId="373"/>
    <tableColumn id="5" name="Short Term3" dataDxfId="372"/>
    <tableColumn id="6" name="Outlook4" dataDxfId="371"/>
    <tableColumn id="7" name="Column4" dataDxfId="370"/>
    <tableColumn id="8" name="Column5" dataDxfId="369"/>
    <tableColumn id="9" name="Column6" dataDxfId="368"/>
    <tableColumn id="10" name="Long Term8" dataDxfId="367"/>
    <tableColumn id="11" name="Short Term9" dataDxfId="366"/>
    <tableColumn id="12" name="Outlook10" dataDxfId="365"/>
  </tableColumns>
  <tableStyleInfo name="TableStyleMedium16 2" showFirstColumn="0" showLastColumn="0" showRowStripes="1" showColumnStripes="0"/>
</table>
</file>

<file path=xl/tables/table5.xml><?xml version="1.0" encoding="utf-8"?>
<table xmlns="http://schemas.openxmlformats.org/spreadsheetml/2006/main" id="53" name="Tabelle53" displayName="Tabelle53" ref="C16:N18" totalsRowShown="0" headerRowDxfId="364" dataDxfId="362" headerRowBorderDxfId="363" tableBorderDxfId="361">
  <tableColumns count="12">
    <tableColumn id="1" name="Column1" dataDxfId="360"/>
    <tableColumn id="2" name="Column2" dataDxfId="359"/>
    <tableColumn id="3" name="Column3" dataDxfId="358"/>
    <tableColumn id="4" name="Long Term2" dataDxfId="357"/>
    <tableColumn id="5" name="Short Term3" dataDxfId="356"/>
    <tableColumn id="6" name="Outlook4" dataDxfId="355"/>
    <tableColumn id="7" name="Column4" dataDxfId="354"/>
    <tableColumn id="8" name="Column5" dataDxfId="353"/>
    <tableColumn id="9" name="Column6" dataDxfId="352"/>
    <tableColumn id="10" name="Long Term8" dataDxfId="351"/>
    <tableColumn id="11" name="Short Term9" dataDxfId="350"/>
    <tableColumn id="12" name="Outlook10" dataDxfId="349"/>
  </tableColumns>
  <tableStyleInfo name="TableStyleMedium16 2" showFirstColumn="0" showLastColumn="0" showRowStripes="1" showColumnStripes="0"/>
</table>
</file>

<file path=xl/tables/table6.xml><?xml version="1.0" encoding="utf-8"?>
<table xmlns="http://schemas.openxmlformats.org/spreadsheetml/2006/main" id="55" name="Tabelle55" displayName="Tabelle55" ref="C20:N22" totalsRowShown="0" headerRowDxfId="348" dataDxfId="346" headerRowBorderDxfId="347" tableBorderDxfId="345">
  <tableColumns count="12">
    <tableColumn id="1" name="Column1" dataDxfId="344"/>
    <tableColumn id="2" name="Column2" dataDxfId="343"/>
    <tableColumn id="3" name="Column3" dataDxfId="342"/>
    <tableColumn id="4" name="Long Term2" dataDxfId="341"/>
    <tableColumn id="5" name="Short Term3" dataDxfId="340"/>
    <tableColumn id="6" name="Outlook4" dataDxfId="339"/>
    <tableColumn id="7" name="Column4" dataDxfId="338"/>
    <tableColumn id="8" name="Column5" dataDxfId="337"/>
    <tableColumn id="9" name="Column6" dataDxfId="336"/>
    <tableColumn id="10" name="Long Term8" dataDxfId="335"/>
    <tableColumn id="11" name="Short Term9" dataDxfId="334"/>
    <tableColumn id="12" name="Outlook10" dataDxfId="333"/>
  </tableColumns>
  <tableStyleInfo name="TableStyleMedium16 2" showFirstColumn="0" showLastColumn="0" showRowStripes="1" showColumnStripes="0"/>
</table>
</file>

<file path=xl/tables/table7.xml><?xml version="1.0" encoding="utf-8"?>
<table xmlns="http://schemas.openxmlformats.org/spreadsheetml/2006/main" id="8" name="Tabelle8" displayName="Tabelle8" ref="B7:D9" totalsRowShown="0">
  <tableColumns count="3">
    <tableColumn id="1" name="Rating at Issue Date" dataDxfId="332"/>
    <tableColumn id="4" name="Senior Quota" dataDxfId="331"/>
    <tableColumn id="6" name="Mezzanine Quota"/>
  </tableColumns>
  <tableStyleInfo name="TableStyleMedium16 2" showFirstColumn="0" showLastColumn="0" showRowStripes="1" showColumnStripes="0"/>
</table>
</file>

<file path=xl/tables/table8.xml><?xml version="1.0" encoding="utf-8"?>
<table xmlns="http://schemas.openxmlformats.org/spreadsheetml/2006/main" id="9" name="Tabelle9" displayName="Tabelle9" ref="B11:D13" totalsRowShown="0">
  <tableColumns count="3">
    <tableColumn id="1" name="Current Rating" dataDxfId="330"/>
    <tableColumn id="2" name="Senior Quota" dataDxfId="329"/>
    <tableColumn id="3" name="Mezzanine Quota"/>
  </tableColumns>
  <tableStyleInfo name="TableStyleMedium16 2" showFirstColumn="0" showLastColumn="0" showRowStripes="1" showColumnStripes="0"/>
</table>
</file>

<file path=xl/tables/table9.xml><?xml version="1.0" encoding="utf-8"?>
<table xmlns="http://schemas.openxmlformats.org/spreadsheetml/2006/main" id="10" name="Tabelle10" displayName="Tabelle10" ref="B15:D19" totalsRowShown="0">
  <tableColumns count="3">
    <tableColumn id="1" name="Information on Notes" dataDxfId="328"/>
    <tableColumn id="2" name="Senior Quota"/>
    <tableColumn id="3" name="Mezzanine Quota"/>
  </tableColumns>
  <tableStyleInfo name="TableStyleMedium16 2" showFirstColumn="0" showLastColumn="0" showRowStripes="1" showColumnStripes="0"/>
</table>
</file>

<file path=xl/tables/table10.xml><?xml version="1.0" encoding="utf-8"?>
<table xmlns="http://schemas.openxmlformats.org/spreadsheetml/2006/main" id="11" name="Tabelle11" displayName="Tabelle11" ref="B21:D25" totalsRowShown="0">
  <tableColumns count="3">
    <tableColumn id="1" name="Information on Interest" dataDxfId="327"/>
    <tableColumn id="2" name="Senior Quota" dataDxfId="326"/>
    <tableColumn id="3" name="Mezzanine Quota"/>
  </tableColumns>
  <tableStyleInfo name="TableStyleMedium16 2" showFirstColumn="0" showLastColumn="0" showRowStripes="1" showColumnStripes="0"/>
</table>
</file>

<file path=xl/tables/table11.xml><?xml version="1.0" encoding="utf-8"?>
<table xmlns="http://schemas.openxmlformats.org/spreadsheetml/2006/main" id="12" name="Tabelle12" displayName="Tabelle12" ref="B15:D17" totalsRowShown="0" headerRowDxfId="325" dataDxfId="324">
  <tableColumns count="3">
    <tableColumn id="1" name="Interest Payments" dataDxfId="323"/>
    <tableColumn id="3" name="Senior Quota" dataDxfId="322"/>
    <tableColumn id="4" name="Mezzanine Quota" dataDxfId="321">
      <calculatedColumnFormula>#REF!</calculatedColumnFormula>
    </tableColumn>
  </tableColumns>
  <tableStyleInfo name="TableStyleMedium16 2" showFirstColumn="0" showLastColumn="0" showRowStripes="1" showColumnStripes="0"/>
</table>
</file>

<file path=xl/tables/table12.xml><?xml version="1.0" encoding="utf-8"?>
<table xmlns="http://schemas.openxmlformats.org/spreadsheetml/2006/main" id="14" name="Tabelle14" displayName="Tabelle14" ref="B18:D22" totalsRowShown="0" headerRowDxfId="320" dataDxfId="319">
  <tableColumns count="3">
    <tableColumn id="1" name="Note Balance" dataDxfId="318"/>
    <tableColumn id="2" name="Senior Quota" dataDxfId="317"/>
    <tableColumn id="3" name="Mezzanine Quota" dataDxfId="316"/>
  </tableColumns>
  <tableStyleInfo name="TableStyleMedium16 2" showFirstColumn="0" showLastColumn="0" showRowStripes="1" showColumnStripes="0"/>
</table>
</file>

<file path=xl/tables/table13.xml><?xml version="1.0" encoding="utf-8"?>
<table xmlns="http://schemas.openxmlformats.org/spreadsheetml/2006/main" id="15" name="Tabelle15" displayName="Tabelle15" ref="B23:D26" totalsRowShown="0" headerRowDxfId="315" dataDxfId="314">
  <tableColumns count="3">
    <tableColumn id="1" name="Payments to Investors (per note)" dataDxfId="313"/>
    <tableColumn id="2" name="Senior Quota" dataDxfId="312"/>
    <tableColumn id="3" name="Mezzanine Quota" dataDxfId="311"/>
  </tableColumns>
  <tableStyleInfo name="TableStyleMedium16 2" showFirstColumn="0" showLastColumn="0" showRowStripes="1" showColumnStripes="0"/>
</table>
</file>

<file path=xl/tables/table14.xml><?xml version="1.0" encoding="utf-8"?>
<table xmlns="http://schemas.openxmlformats.org/spreadsheetml/2006/main" id="16" name="Tabelle16" displayName="Tabelle16" ref="B28:D31" totalsRowShown="0" headerRowDxfId="310" dataDxfId="308" headerRowBorderDxfId="309" tableBorderDxfId="307">
  <tableColumns count="3">
    <tableColumn id="1" name="Overcollateralisation" dataDxfId="306"/>
    <tableColumn id="2" name="Senior Quota" dataDxfId="305" dataCellStyle="Percent"/>
    <tableColumn id="3" name="Mezzanine Quota" dataDxfId="304" dataCellStyle="Percent"/>
  </tableColumns>
  <tableStyleInfo name="TableStyleMedium16 2" showFirstColumn="0" showLastColumn="0" showRowStripes="1" showColumnStripes="0"/>
</table>
</file>

<file path=xl/tables/table15.xml><?xml version="1.0" encoding="utf-8"?>
<table xmlns="http://schemas.openxmlformats.org/spreadsheetml/2006/main" id="19" name="Tabelle19" displayName="Tabelle19" ref="B7:D11" totalsRowShown="0" headerRowDxfId="303">
  <tableColumns count="3">
    <tableColumn id="1" name="Credit Enhancement @ Pool-Cut" dataDxfId="302"/>
    <tableColumn id="2" name="% of Discounted Principal Balance" dataDxfId="301">
      <calculatedColumnFormula>D8/Input!$D$94</calculatedColumnFormula>
    </tableColumn>
    <tableColumn id="3" name="Value" dataDxfId="300"/>
  </tableColumns>
  <tableStyleInfo name="TableStyleMedium16 2" showFirstColumn="0" showLastColumn="0" showRowStripes="1" showColumnStripes="0"/>
</table>
</file>

<file path=xl/tables/table16.xml><?xml version="1.0" encoding="utf-8"?>
<table xmlns="http://schemas.openxmlformats.org/spreadsheetml/2006/main" id="21" name="Tabelle21" displayName="Tabelle21" ref="A7:C11" totalsRowShown="0">
  <tableColumns count="3">
    <tableColumn id="1" name="Amortising Interest Rate Swap " dataDxfId="299"/>
    <tableColumn id="2" name="Senior Quota"/>
    <tableColumn id="3" name="Mezzanine Quota"/>
  </tableColumns>
  <tableStyleInfo name="TableStyleMedium16 2" showFirstColumn="0" showLastColumn="0" showRowStripes="1" showColumnStripes="0"/>
</table>
</file>

<file path=xl/tables/table17.xml><?xml version="1.0" encoding="utf-8"?>
<table xmlns="http://schemas.openxmlformats.org/spreadsheetml/2006/main" id="51" name="Tabelle51" displayName="Tabelle51" ref="A13:C24" totalsRowShown="0" headerRowDxfId="298" dataDxfId="296" headerRowBorderDxfId="297" tableBorderDxfId="295">
  <tableColumns count="3">
    <tableColumn id="1" name="Waterfall" dataDxfId="294"/>
    <tableColumn id="2" name="Column2" dataDxfId="293"/>
    <tableColumn id="3" name="Column1" dataDxfId="292"/>
  </tableColumns>
  <tableStyleInfo name="TableStyleMedium16 2" showFirstColumn="0" showLastColumn="0" showRowStripes="1" showColumnStripes="0"/>
</table>
</file>

<file path=xl/tables/table18.xml><?xml version="1.0" encoding="utf-8"?>
<table xmlns="http://schemas.openxmlformats.org/spreadsheetml/2006/main" id="23" name="Tabelle23" displayName="Tabelle23" ref="A8:C57" totalsRowShown="0" headerRowDxfId="290" dataDxfId="289">
  <tableColumns count="3">
    <tableColumn id="1" name="Reporting Period" dataDxfId="288">
      <calculatedColumnFormula>EDATE(A8,1)</calculatedColumnFormula>
    </tableColumn>
    <tableColumn id="2" name="Actual Note Balance" dataDxfId="287">
      <calculatedColumnFormula>+#REF!</calculatedColumnFormula>
    </tableColumn>
    <tableColumn id="7" name="Actual Note Balance2" dataDxfId="286">
      <calculatedColumnFormula>+#REF!</calculatedColumnFormula>
    </tableColumn>
  </tableColumns>
  <tableStyleInfo name="TableStyleMedium16 2" showFirstColumn="0" showLastColumn="0" showRowStripes="1" showColumnStripes="0"/>
</table>
</file>

<file path=xl/tables/table19.xml><?xml version="1.0" encoding="utf-8"?>
<table xmlns="http://schemas.openxmlformats.org/spreadsheetml/2006/main" id="1" name="Tabelle1" displayName="Tabelle1" ref="A7:D58" totalsRowShown="0" headerRowDxfId="285" dataDxfId="284">
  <tableColumns count="4">
    <tableColumn id="1" name="Payment Date" dataDxfId="283"/>
    <tableColumn id="2" name="Remaining Interest" dataDxfId="282"/>
    <tableColumn id="3" name="Outstanding Discounted Principal Balance" dataDxfId="281"/>
    <tableColumn id="4" name="ABS Remaining Nominal" dataDxfId="280"/>
  </tableColumns>
  <tableStyleInfo name="TableStyleMedium16 2" showFirstColumn="0" showLastColumn="0" showRowStripes="1" showColumnStripes="0"/>
</table>
</file>

<file path=xl/tables/table20.xml><?xml version="1.0" encoding="utf-8"?>
<table xmlns="http://schemas.openxmlformats.org/spreadsheetml/2006/main" id="31" name="Tabelle31" displayName="Tabelle31" ref="B7:D10" totalsRowShown="0">
  <tableColumns count="3">
    <tableColumn id="1" name="Status" dataDxfId="279"/>
    <tableColumn id="2" name="Number of Contracts" dataDxfId="278"/>
    <tableColumn id="3" name="Outstanding Discounted Principal Balance" dataDxfId="277"/>
  </tableColumns>
  <tableStyleInfo name="TableStyleMedium16 2" showFirstColumn="0" showLastColumn="0" showRowStripes="1" showColumnStripes="0"/>
</table>
</file>

<file path=xl/tables/table21.xml><?xml version="1.0" encoding="utf-8"?>
<table xmlns="http://schemas.openxmlformats.org/spreadsheetml/2006/main" id="33" name="Tabelle33" displayName="Tabelle33" ref="B22:N30" totalsRowShown="0" headerRowDxfId="276" dataDxfId="274" headerRowBorderDxfId="275" tableBorderDxfId="273">
  <tableColumns count="13">
    <tableColumn id="1" name="Contract Status Development"/>
    <tableColumn id="2" name="Number of Contracts" dataDxfId="272"/>
    <tableColumn id="3" name="Outstanding Discounted Principal Balance" dataDxfId="271"/>
    <tableColumn id="4" name="Number of Contracts2" dataDxfId="270" dataCellStyle="Comma"/>
    <tableColumn id="5" name="Outstanding Discounted Principal Balance5" dataDxfId="269"/>
    <tableColumn id="6" name="Number of Contracts3#" dataDxfId="268"/>
    <tableColumn id="7" name="Outstanding Discounted Principal Balance2" dataDxfId="267"/>
    <tableColumn id="8" name="Column1" dataDxfId="266"/>
    <tableColumn id="9" name="Column2" dataDxfId="265"/>
    <tableColumn id="10" name="Number of Contracts7" dataDxfId="264" dataCellStyle="Comma"/>
    <tableColumn id="11" name="Outstanding Discounted Principal Balance3" dataDxfId="263"/>
    <tableColumn id="12" name="Number of Contracts9" dataDxfId="262" dataCellStyle="Comma"/>
    <tableColumn id="13" name="Outstanding Discounted Principal Balance4" dataDxfId="261"/>
  </tableColumns>
  <tableStyleInfo name="TableStyleMedium16 2" showFirstColumn="0" showLastColumn="0" showRowStripes="1" showColumnStripes="0"/>
</table>
</file>

<file path=xl/tables/table22.xml><?xml version="1.0" encoding="utf-8"?>
<table xmlns="http://schemas.openxmlformats.org/spreadsheetml/2006/main" id="34" name="Tabelle3335" displayName="Tabelle3335" ref="B34:D41" totalsRowShown="0" headerRowDxfId="260" dataDxfId="258" headerRowBorderDxfId="259" tableBorderDxfId="257">
  <tableColumns count="3">
    <tableColumn id="1" name="Contract Status Development"/>
    <tableColumn id="2" name="Number of Contracts" dataDxfId="256"/>
    <tableColumn id="3" name="Outstanding Discounted Principal Balance" dataDxfId="255"/>
  </tableColumns>
  <tableStyleInfo name="TableStyleMedium16 2" showFirstColumn="0" showLastColumn="0" showRowStripes="1" showColumnStripes="0"/>
</table>
</file>

<file path=xl/tables/table23.xml><?xml version="1.0" encoding="utf-8"?>
<table xmlns="http://schemas.openxmlformats.org/spreadsheetml/2006/main" id="37" name="Tabelle37" displayName="Tabelle37" ref="E34:N41" totalsRowShown="0" headerRowDxfId="254" dataDxfId="253">
  <tableColumns count="10">
    <tableColumn id="1" name="Number of Contracts2"/>
    <tableColumn id="2" name="Outstanding Discounted Principal Balance" dataDxfId="252"/>
    <tableColumn id="3" name="Number of Contracts3#"/>
    <tableColumn id="4" name="Outstanding Discounted Principal Balance2" dataDxfId="251"/>
    <tableColumn id="5" name="Column1"/>
    <tableColumn id="6" name="Column2" dataDxfId="250"/>
    <tableColumn id="7" name="Number of Contracts7" dataDxfId="249"/>
    <tableColumn id="8" name="Outstanding Discounted Principal Balance3" dataDxfId="248"/>
    <tableColumn id="9" name="Number of Contracts9" dataDxfId="247"/>
    <tableColumn id="10" name="Outstanding Discounted Principal Balance4" dataDxfId="246"/>
  </tableColumns>
  <tableStyleInfo name="TableStyleMedium16 2 2" showFirstColumn="0" showLastColumn="0" showRowStripes="1" showColumnStripes="0"/>
</table>
</file>

<file path=xl/tables/table24.xml><?xml version="1.0" encoding="utf-8"?>
<table xmlns="http://schemas.openxmlformats.org/spreadsheetml/2006/main" id="32" name="Tabelle32" displayName="Tabelle32" ref="B12:D18" totalsRowShown="0">
  <tableColumns count="3">
    <tableColumn id="1" name="Walk b/w BOP and EOP" dataDxfId="245"/>
    <tableColumn id="2" name="Number of Contracts" dataDxfId="244"/>
    <tableColumn id="3" name="Column1" dataDxfId="243"/>
  </tableColumns>
  <tableStyleInfo name="TableStyleMedium16 2" showFirstColumn="0" showLastColumn="0" showRowStripes="1" showColumnStripes="0"/>
</table>
</file>

<file path=xl/tables/table25.xml><?xml version="1.0" encoding="utf-8"?>
<table xmlns="http://schemas.openxmlformats.org/spreadsheetml/2006/main" id="65" name="Tabelle2866" displayName="Tabelle2866" ref="B9:G20" totalsRowShown="0" headerRowDxfId="242" dataDxfId="241">
  <tableColumns count="6">
    <tableColumn id="1" name="Delinquency Profile" dataDxfId="240"/>
    <tableColumn id="2" name="Number of Contracts" dataDxfId="239"/>
    <tableColumn id="3" name="Percentage of Contracts" dataDxfId="238"/>
    <tableColumn id="4" name="Amount of Delinquent Receivables" dataDxfId="237"/>
    <tableColumn id="6" name="Outstanding Discounted Principal Balance2" dataDxfId="236" dataCellStyle="Comma"/>
    <tableColumn id="5" name="Percentage of Discounted Principal Balance" dataDxfId="235"/>
  </tableColumns>
  <tableStyleInfo name="TableStyleMedium16 2" showFirstColumn="0" showLastColumn="0" showRowStripes="1" showColumnStripes="0"/>
</table>
</file>

<file path=xl/tables/table26.xml><?xml version="1.0" encoding="utf-8"?>
<table xmlns="http://schemas.openxmlformats.org/spreadsheetml/2006/main" id="47" name="Tabelle47" displayName="Tabelle47" ref="H9:S20" totalsRowShown="0" headerRowDxfId="234">
  <tableColumns count="12">
    <tableColumn id="1" name="Number of Contracts2" dataDxfId="233"/>
    <tableColumn id="2" name="Amount of Delinquent Receivables" dataDxfId="232"/>
    <tableColumn id="6" name="Outstanding Discounted Principal Balance2" dataDxfId="231" dataCellStyle="Currency"/>
    <tableColumn id="3" name="Number of Contracts4" dataDxfId="230"/>
    <tableColumn id="4" name="Amount of Delinquent Receivables2" dataDxfId="229"/>
    <tableColumn id="11" name="Outstanding Discounted Principal Balance23" dataDxfId="228" dataCellStyle="Currency"/>
    <tableColumn id="7" name="Number of Contracts8" dataDxfId="227"/>
    <tableColumn id="8" name="Amount of Delinquent Receivables3" dataDxfId="226"/>
    <tableColumn id="12" name="Outstanding Discounted Principal Balance24" dataDxfId="225" dataCellStyle="Currency"/>
    <tableColumn id="9" name="Number of Contracts9" dataDxfId="224" dataCellStyle="Comma"/>
    <tableColumn id="10" name="Amount of Delinquent Receivables32" dataDxfId="223"/>
    <tableColumn id="13" name="Outstanding Discounted Principal Balance242" dataDxfId="222" dataCellStyle="Currency"/>
  </tableColumns>
  <tableStyleInfo name="TableStyleMedium16 2 2" showFirstColumn="0" showLastColumn="0" showRowStripes="1" showColumnStripes="0"/>
</table>
</file>

<file path=xl/tables/table27.xml><?xml version="1.0" encoding="utf-8"?>
<table xmlns="http://schemas.openxmlformats.org/spreadsheetml/2006/main" id="36" name="Tabelle36" displayName="Tabelle36" ref="A11:E12" totalsRowShown="0" headerRowDxfId="221" dataDxfId="220">
  <tableColumns count="5">
    <tableColumn id="1" name="(+) _x000a_Outstanding Nominal Balance at Day of Write Off" dataDxfId="219"/>
    <tableColumn id="2" name="(-) _x000a_Prior Transactions/ Negotiations" dataDxfId="218" dataCellStyle="Währung 2"/>
    <tableColumn id="3" name="(-)_x000a_Recoveries _x000a_for Current Period" dataDxfId="217"/>
    <tableColumn id="4" name="(-) _x000a_Discounts for _x000a_Current Period" dataDxfId="216"/>
    <tableColumn id="5" name="(=) _x000a_Current Outstanding Nominal Balance" dataDxfId="215"/>
  </tableColumns>
  <tableStyleInfo name="TableStyleMedium16 2" showFirstColumn="0" showLastColumn="0" showRowStripes="1" showColumnStripes="0"/>
</table>
</file>

<file path=xl/tables/table28.xml><?xml version="1.0" encoding="utf-8"?>
<table xmlns="http://schemas.openxmlformats.org/spreadsheetml/2006/main" id="38" name="Tabelle38" displayName="Tabelle38" ref="C9:G15" totalsRowShown="0" headerRowDxfId="214" dataDxfId="212" headerRowBorderDxfId="213" tableBorderDxfId="211" totalsRowBorderDxfId="210">
  <tableColumns count="5">
    <tableColumn id="1" name="Distribution by Contract Concentration" dataDxfId="209"/>
    <tableColumn id="2" name="Number of Contracts" dataDxfId="208">
      <calculatedColumnFormula>Tabelle50[[#This Row],[Number of Contracts2]]+Tabelle50[[#This Row],[Number of Contracts4]]+Tabelle50[[#This Row],[Column1]]</calculatedColumnFormula>
    </tableColumn>
    <tableColumn id="3" name="Percentage of Contracts" dataDxfId="207"/>
    <tableColumn id="4" name="Outstanding Discounted Principal Balance" dataDxfId="206">
      <calculatedColumnFormula>Tabelle50[[#This Row],[Outstanding Discounted Principal Balance]]+Tabelle50[[#This Row],[Outstanding Discounted Principal Balance2]]+Tabelle50[[#This Row],[Column2]]</calculatedColumnFormula>
    </tableColumn>
    <tableColumn id="5" name="Percentage of Discounted Principal Balance" dataDxfId="205"/>
  </tableColumns>
  <tableStyleInfo name="TableStyleMedium16 2" showFirstColumn="0" showLastColumn="0" showRowStripes="1" showColumnStripes="0"/>
</table>
</file>

<file path=xl/tables/table29.xml><?xml version="1.0" encoding="utf-8"?>
<table xmlns="http://schemas.openxmlformats.org/spreadsheetml/2006/main" id="39" name="Tabelle39" displayName="Tabelle39" ref="C19:G40" totalsRowShown="0" headerRowDxfId="204" dataDxfId="202" headerRowBorderDxfId="203">
  <tableColumns count="5">
    <tableColumn id="1" name="Distribution by largest customers" dataDxfId="201"/>
    <tableColumn id="2" name="Contract Concentration" dataDxfId="200">
      <calculatedColumnFormula>Tabelle63[[#This Row],[Number of Contracts2]]+Tabelle63[[#This Row],[Number of Contracts4]]+Tabelle63[[#This Row],[Column1]]</calculatedColumnFormula>
    </tableColumn>
    <tableColumn id="3" name="Percentage of Contracts" dataDxfId="199">
      <calculatedColumnFormula>Tabelle39[[#This Row],[Contract Concentration]]/$D$42</calculatedColumnFormula>
    </tableColumn>
    <tableColumn id="4" name="Outstanding Discounted Principal Balance" dataDxfId="198">
      <calculatedColumnFormula>Tabelle63[[#This Row],[Outstanding Discounted Principal Balance]]+Tabelle63[[#This Row],[Outstanding Discounted Principal Balance2]]+Tabelle63[[#This Row],[Column2]]</calculatedColumnFormula>
    </tableColumn>
    <tableColumn id="5" name="Percentage of Discounted Principal Balance" dataDxfId="197">
      <calculatedColumnFormula>Tabelle39[[#This Row],[Outstanding Discounted Principal Balance]]/$F$42</calculatedColumnFormula>
    </tableColumn>
  </tableColumns>
  <tableStyleInfo name="TableStyleMedium16 2" showFirstColumn="0" showLastColumn="0" showRowStripes="1" showColumnStripes="0"/>
</table>
</file>

<file path=xl/tables/table30.xml><?xml version="1.0" encoding="utf-8"?>
<table xmlns="http://schemas.openxmlformats.org/spreadsheetml/2006/main" id="50" name="Tabelle50" displayName="Tabelle50" ref="H9:Q15" totalsRowShown="0" headerRowDxfId="196" dataDxfId="194" headerRowBorderDxfId="195" tableBorderDxfId="193" totalsRowBorderDxfId="192">
  <tableColumns count="10">
    <tableColumn id="1" name="Number of Contracts2" dataDxfId="191"/>
    <tableColumn id="2" name="Outstanding Discounted Principal Balance" dataDxfId="190"/>
    <tableColumn id="3" name="Number of Contracts4" dataDxfId="189"/>
    <tableColumn id="4" name="Outstanding Discounted Principal Balance2" dataDxfId="188"/>
    <tableColumn id="5" name="Column1" dataDxfId="187"/>
    <tableColumn id="6" name="Column2" dataDxfId="186"/>
    <tableColumn id="7" name="Number of Contracts8" dataDxfId="185"/>
    <tableColumn id="8" name="Outstanding Discounted Principal Balance3" dataDxfId="184"/>
    <tableColumn id="9" name="Number of Contracts9" dataDxfId="183"/>
    <tableColumn id="10" name="Outstanding Discounted Principal Balance4" dataDxfId="182"/>
  </tableColumns>
  <tableStyleInfo name="TableStyleMedium16 2 2" showFirstColumn="0" showLastColumn="0" showRowStripes="1" showColumnStripes="0"/>
</table>
</file>

<file path=xl/tables/table31.xml><?xml version="1.0" encoding="utf-8"?>
<table xmlns="http://schemas.openxmlformats.org/spreadsheetml/2006/main" id="63" name="Tabelle63" displayName="Tabelle63" ref="H19:Q40" totalsRowShown="0" headerRowDxfId="181" dataDxfId="179" headerRowBorderDxfId="180">
  <tableColumns count="10">
    <tableColumn id="1" name="Number of Contracts2" dataDxfId="178"/>
    <tableColumn id="2" name="Outstanding Discounted Principal Balance" dataDxfId="177"/>
    <tableColumn id="3" name="Number of Contracts4" dataDxfId="176"/>
    <tableColumn id="4" name="Outstanding Discounted Principal Balance2" dataDxfId="175"/>
    <tableColumn id="5" name="Column1" dataDxfId="174"/>
    <tableColumn id="6" name="Column2" dataDxfId="173"/>
    <tableColumn id="7" name="Number of Contracts8" dataDxfId="172"/>
    <tableColumn id="8" name="Outstanding Discounted Principal Balance3" dataDxfId="171"/>
    <tableColumn id="9" name="Number of Contracts9" dataDxfId="170"/>
    <tableColumn id="10" name="Outstanding Discounted Principal Balance4" dataDxfId="169" dataCellStyle="Currency"/>
  </tableColumns>
  <tableStyleInfo name="TableStyleMedium16 2 2" showFirstColumn="0" showLastColumn="0" showRowStripes="1" showColumnStripes="0"/>
</table>
</file>

<file path=xl/tables/table32.xml><?xml version="1.0" encoding="utf-8"?>
<table xmlns="http://schemas.openxmlformats.org/spreadsheetml/2006/main" id="40" name="Tabelle40" displayName="Tabelle40" ref="D9:H21" totalsRowShown="0" headerRowDxfId="168" dataDxfId="166" headerRowBorderDxfId="167" tableBorderDxfId="165">
  <tableColumns count="5">
    <tableColumn id="1" name="Distribution by Outstanding Disounted Principal Balance" dataDxfId="164"/>
    <tableColumn id="2" name="Number of Contracts" dataDxfId="163">
      <calculatedColumnFormula>+I10+K10</calculatedColumnFormula>
    </tableColumn>
    <tableColumn id="3" name="Percentage of Contracts" dataDxfId="162">
      <calculatedColumnFormula>Tabelle40[[#This Row],[Number of Contracts]]/$E$21</calculatedColumnFormula>
    </tableColumn>
    <tableColumn id="4" name="Oustanding Discounted Principal Balance" dataDxfId="161">
      <calculatedColumnFormula>+J10+L10</calculatedColumnFormula>
    </tableColumn>
    <tableColumn id="5" name="Percentage of Discounted Principal Balance" dataDxfId="160">
      <calculatedColumnFormula>Tabelle40[[#This Row],[Oustanding Discounted Principal Balance]]/$G$21</calculatedColumnFormula>
    </tableColumn>
  </tableColumns>
  <tableStyleInfo name="TableStyleMedium16 2" showFirstColumn="0" showLastColumn="0" showRowStripes="1" showColumnStripes="0"/>
</table>
</file>

<file path=xl/tables/table33.xml><?xml version="1.0" encoding="utf-8"?>
<table xmlns="http://schemas.openxmlformats.org/spreadsheetml/2006/main" id="42" name="Tabelle4043" displayName="Tabelle4043" ref="D30:H43" totalsRowShown="0" headerRowDxfId="159" dataDxfId="157" headerRowBorderDxfId="158" tableBorderDxfId="156">
  <tableColumns count="5">
    <tableColumn id="1" name="Distribution by Original Discounted Principal Balance" dataDxfId="155"/>
    <tableColumn id="2" name="Number of Contracts" dataDxfId="154">
      <calculatedColumnFormula>Tabelle66[[#This Row],[Number of Contracts2]]+Tabelle66[[#This Row],[Number of Contracts4]]+Tabelle66[[#This Row],[Column1]]</calculatedColumnFormula>
    </tableColumn>
    <tableColumn id="3" name="Percentage of Contracts" dataDxfId="153">
      <calculatedColumnFormula>Tabelle4043[[#This Row],[Number of Contracts]]/$E$43</calculatedColumnFormula>
    </tableColumn>
    <tableColumn id="4" name="Oustanding Discounted Principal Balance" dataDxfId="152">
      <calculatedColumnFormula>Tabelle66[[#This Row],[Outstanding Discounted Principal Balance3]]+Tabelle66[[#This Row],[Outstanding Discounted Principal Balance6]]+Tabelle66[[#This Row],[Column2]]</calculatedColumnFormula>
    </tableColumn>
    <tableColumn id="5" name="Percentage of Discounted Principal Balance" dataDxfId="151">
      <calculatedColumnFormula>Tabelle4043[[#This Row],[Oustanding Discounted Principal Balance]]/$G$43</calculatedColumnFormula>
    </tableColumn>
  </tableColumns>
  <tableStyleInfo name="TableStyleMedium16 2" showFirstColumn="0" showLastColumn="0" showRowStripes="1" showColumnStripes="0"/>
</table>
</file>

<file path=xl/tables/table34.xml><?xml version="1.0" encoding="utf-8"?>
<table xmlns="http://schemas.openxmlformats.org/spreadsheetml/2006/main" id="64" name="Tabelle64" displayName="Tabelle64" ref="I9:R22" totalsRowShown="0" headerRowDxfId="150" dataDxfId="148" headerRowBorderDxfId="149">
  <tableColumns count="10">
    <tableColumn id="1" name="Number of Contracts2" dataDxfId="147"/>
    <tableColumn id="2" name="Outstanding Discounted Principal Balance3" dataDxfId="146"/>
    <tableColumn id="3" name="Number of Contracts4" dataDxfId="145"/>
    <tableColumn id="4" name="Outstanding Discounted Principal Balance6" dataDxfId="144"/>
    <tableColumn id="5" name="Number of Contracts7" dataDxfId="143"/>
    <tableColumn id="6" name="Outstanding Discounted Principal Balance2" dataDxfId="142"/>
    <tableColumn id="7" name="Number of Contracts8" dataDxfId="141" dataCellStyle="Comma"/>
    <tableColumn id="8" name="Outstanding Discounted Principal Balance8" dataDxfId="140"/>
    <tableColumn id="9" name="Number of Contracts9" dataDxfId="139" dataCellStyle="Comma"/>
    <tableColumn id="10" name="Outstanding Discounted Principal Balance10" dataDxfId="138"/>
  </tableColumns>
  <tableStyleInfo name="TableStyleMedium16 2 2" showFirstColumn="0" showLastColumn="0" showRowStripes="1" showColumnStripes="0"/>
</table>
</file>

<file path=xl/tables/table35.xml><?xml version="1.0" encoding="utf-8"?>
<table xmlns="http://schemas.openxmlformats.org/spreadsheetml/2006/main" id="66" name="Tabelle66" displayName="Tabelle66" ref="I30:R43" totalsRowShown="0" headerRowDxfId="137" dataDxfId="135" headerRowBorderDxfId="136">
  <tableColumns count="10">
    <tableColumn id="1" name="Number of Contracts2" dataDxfId="134"/>
    <tableColumn id="2" name="Outstanding Discounted Principal Balance3" dataDxfId="133"/>
    <tableColumn id="3" name="Number of Contracts4" dataDxfId="132"/>
    <tableColumn id="4" name="Outstanding Discounted Principal Balance6" dataDxfId="131"/>
    <tableColumn id="5" name="Column1" dataDxfId="130"/>
    <tableColumn id="6" name="Column2" dataDxfId="129"/>
    <tableColumn id="7" name="Number of Contracts8" dataDxfId="128"/>
    <tableColumn id="8" name="Outstanding Discounted Principal Balance8" dataDxfId="127"/>
    <tableColumn id="9" name="Number of Contracts9" dataDxfId="126"/>
    <tableColumn id="10" name="Outstanding Discounted Principal Balance10" dataDxfId="125"/>
  </tableColumns>
  <tableStyleInfo name="TableStyleMedium16 2 2" showFirstColumn="0" showLastColumn="0" showRowStripes="1" showColumnStripes="0"/>
</table>
</file>

<file path=xl/tables/table36.xml><?xml version="1.0" encoding="utf-8"?>
<table xmlns="http://schemas.openxmlformats.org/spreadsheetml/2006/main" id="44" name="Tabelle4345" displayName="Tabelle4345" ref="A24:E30" totalsRowShown="0" headerRowDxfId="124" headerRowBorderDxfId="123">
  <tableColumns count="5">
    <tableColumn id="1" name="Distribution by Remaining Term"/>
    <tableColumn id="2" name="Number of Contracts" dataDxfId="122">
      <calculatedColumnFormula>+Tabelle69[[#This Row],[Number of Contracts2]]+Tabelle69[[#This Row],[Number of Contracts4]]</calculatedColumnFormula>
    </tableColumn>
    <tableColumn id="3" name="Percentage of Contracts" dataDxfId="121"/>
    <tableColumn id="4" name="Oustanding Discounted Principal Balance" dataDxfId="120">
      <calculatedColumnFormula>+Tabelle69[[#This Row],[Outstanding Discounted Principal Balance3]]+Tabelle69[[#This Row],[Outstanding Discounted Principal Balance6]]</calculatedColumnFormula>
    </tableColumn>
    <tableColumn id="5" name="Percentage of Discounted Principal Balance" dataDxfId="119"/>
  </tableColumns>
  <tableStyleInfo name="TableStyleMedium16 2" showFirstColumn="0" showLastColumn="0" showRowStripes="1" showColumnStripes="0"/>
</table>
</file>

<file path=xl/tables/table37.xml><?xml version="1.0" encoding="utf-8"?>
<table xmlns="http://schemas.openxmlformats.org/spreadsheetml/2006/main" id="45" name="Tabelle434546" displayName="Tabelle434546" ref="A39:E46" totalsRowShown="0" headerRowDxfId="118" headerRowBorderDxfId="117">
  <tableColumns count="5">
    <tableColumn id="1" name="Distribution by Seasoning"/>
    <tableColumn id="2" name="Number of Contracts" dataDxfId="116">
      <calculatedColumnFormula>+Tabelle70[[#This Row],[Number of Contracts2]]+Tabelle70[[#This Row],[Number of Contracts4]]</calculatedColumnFormula>
    </tableColumn>
    <tableColumn id="3" name="Percentage of Contracts" dataDxfId="115">
      <calculatedColumnFormula>Tabelle434546[[#This Row],[Number of Contracts]]/$B$46</calculatedColumnFormula>
    </tableColumn>
    <tableColumn id="4" name="Oustanding Discounted Principal Balance" dataDxfId="114">
      <calculatedColumnFormula>+Tabelle70[[#This Row],[Outstanding Discounted Principal Balance3]]+Tabelle70[[#This Row],[Outstanding Discounted Principal Balance6]]</calculatedColumnFormula>
    </tableColumn>
    <tableColumn id="5" name="Percentage of Discounted Principal Balance" dataDxfId="113">
      <calculatedColumnFormula>Tabelle434546[[#This Row],[Oustanding Discounted Principal Balance]]/$D$46</calculatedColumnFormula>
    </tableColumn>
  </tableColumns>
  <tableStyleInfo name="TableStyleMedium16 2" showFirstColumn="0" showLastColumn="0" showRowStripes="1" showColumnStripes="0"/>
</table>
</file>

<file path=xl/tables/table38.xml><?xml version="1.0" encoding="utf-8"?>
<table xmlns="http://schemas.openxmlformats.org/spreadsheetml/2006/main" id="60" name="Tabelle434561" displayName="Tabelle434561" ref="A9:E15" totalsRowShown="0" headerRowDxfId="112" headerRowBorderDxfId="111">
  <tableColumns count="5">
    <tableColumn id="1" name="Distribution by Original Term"/>
    <tableColumn id="2" name="Number of Contracts" dataDxfId="110">
      <calculatedColumnFormula>+Tabelle68[[#This Row],[Number of Contracts2]]+Tabelle68[[#This Row],[Number of Contracts4]]</calculatedColumnFormula>
    </tableColumn>
    <tableColumn id="3" name="Percentage of Contracts" dataDxfId="109">
      <calculatedColumnFormula>Tabelle434561[[#This Row],[Number of Contracts]]/$B$15</calculatedColumnFormula>
    </tableColumn>
    <tableColumn id="4" name="Oustanding Discounted Principal Balance" dataDxfId="108">
      <calculatedColumnFormula>+Tabelle68[[#This Row],[Outstanding Discounted Principal Balance3]]+Tabelle68[[#This Row],[Outstanding Discounted Principal Balance6]]</calculatedColumnFormula>
    </tableColumn>
    <tableColumn id="5" name="Percentage of Discounted Principal Balance" dataDxfId="107">
      <calculatedColumnFormula>Tabelle434561[[#This Row],[Oustanding Discounted Principal Balance]]/$D$15</calculatedColumnFormula>
    </tableColumn>
  </tableColumns>
  <tableStyleInfo name="TableStyleMedium16 2" showFirstColumn="0" showLastColumn="0" showRowStripes="1" showColumnStripes="0"/>
</table>
</file>

<file path=xl/tables/table39.xml><?xml version="1.0" encoding="utf-8"?>
<table xmlns="http://schemas.openxmlformats.org/spreadsheetml/2006/main" id="68" name="Tabelle68" displayName="Tabelle68" ref="F9:M17" totalsRowShown="0" headerRowDxfId="106" dataDxfId="104" headerRowBorderDxfId="105">
  <tableColumns count="8">
    <tableColumn id="1" name="Number of Contracts2" dataDxfId="103"/>
    <tableColumn id="2" name="Outstanding Discounted Principal Balance3" dataDxfId="102"/>
    <tableColumn id="3" name="Number of Contracts4" dataDxfId="101"/>
    <tableColumn id="4" name="Outstanding Discounted Principal Balance6" dataDxfId="100"/>
    <tableColumn id="7" name="Number of Contracts8" dataDxfId="99">
      <calculatedColumnFormula>SUM(J3:J9)</calculatedColumnFormula>
    </tableColumn>
    <tableColumn id="8" name="Outstanding Discounted Principal Balance8" dataDxfId="98">
      <calculatedColumnFormula>SUM(K3:K9)</calculatedColumnFormula>
    </tableColumn>
    <tableColumn id="9" name="Number of Contracts9" dataDxfId="97">
      <calculatedColumnFormula>SUM(L3:L9)</calculatedColumnFormula>
    </tableColumn>
    <tableColumn id="10" name="Outstanding Discounted Principal Balance10" dataDxfId="96">
      <calculatedColumnFormula>SUM(M4:M9)</calculatedColumnFormula>
    </tableColumn>
  </tableColumns>
  <tableStyleInfo name="TableStyleMedium16 2 2" showFirstColumn="0" showLastColumn="0" showRowStripes="1" showColumnStripes="0"/>
</table>
</file>

<file path=xl/tables/table40.xml><?xml version="1.0" encoding="utf-8"?>
<table xmlns="http://schemas.openxmlformats.org/spreadsheetml/2006/main" id="69" name="Tabelle69" displayName="Tabelle69" ref="F24:O30" totalsRowShown="0" headerRowDxfId="95" dataDxfId="93" headerRowBorderDxfId="94">
  <tableColumns count="10">
    <tableColumn id="1" name="Number of Contracts2" dataDxfId="92"/>
    <tableColumn id="2" name="Outstanding Discounted Principal Balance3" dataDxfId="91"/>
    <tableColumn id="3" name="Number of Contracts4" dataDxfId="90"/>
    <tableColumn id="4" name="Outstanding Discounted Principal Balance6" dataDxfId="89"/>
    <tableColumn id="5" name="Number of Contracts8" dataDxfId="88"/>
    <tableColumn id="6" name="Outstanding Discounted Principal Balance8" dataDxfId="87"/>
    <tableColumn id="7" name="Number of Contracts9" dataDxfId="86"/>
    <tableColumn id="8" name="Outstanding Discounted Principal Balance10" dataDxfId="85"/>
    <tableColumn id="9" name="Column1" dataDxfId="84"/>
    <tableColumn id="10" name="Column2" dataDxfId="83"/>
  </tableColumns>
  <tableStyleInfo name="TableStyleMedium16 2 2" showFirstColumn="0" showLastColumn="0" showRowStripes="1" showColumnStripes="0"/>
</table>
</file>

<file path=xl/tables/table41.xml><?xml version="1.0" encoding="utf-8"?>
<table xmlns="http://schemas.openxmlformats.org/spreadsheetml/2006/main" id="70" name="Tabelle70" displayName="Tabelle70" ref="F39:O46" totalsRowShown="0" headerRowDxfId="82" dataDxfId="80" headerRowBorderDxfId="81">
  <tableColumns count="10">
    <tableColumn id="1" name="Number of Contracts2" dataDxfId="79"/>
    <tableColumn id="2" name="Outstanding Discounted Principal Balance3" dataDxfId="78"/>
    <tableColumn id="3" name="Number of Contracts4" dataDxfId="77"/>
    <tableColumn id="4" name="Outstanding Discounted Principal Balance6" dataDxfId="76"/>
    <tableColumn id="5" name="Number of Contracts8" dataDxfId="75"/>
    <tableColumn id="6" name="Outstanding Discounted Principal Balance8" dataDxfId="74"/>
    <tableColumn id="7" name="Number of Contracts9" dataDxfId="73"/>
    <tableColumn id="8" name="Outstanding Discounted Principal Balance10" dataDxfId="72"/>
    <tableColumn id="9" name="Column1" dataDxfId="71"/>
    <tableColumn id="10" name="Column2" dataDxfId="70"/>
  </tableColumns>
  <tableStyleInfo name="TableStyleMedium16 2 2" showFirstColumn="0" showLastColumn="0" showRowStripes="1" showColumnStripes="0"/>
</table>
</file>

<file path=xl/tables/table42.xml><?xml version="1.0" encoding="utf-8"?>
<table xmlns="http://schemas.openxmlformats.org/spreadsheetml/2006/main" id="56" name="Tabelle56" displayName="Tabelle56" ref="B18:F47" totalsRowShown="0" headerRowDxfId="69">
  <tableColumns count="5">
    <tableColumn id="1" name="Distribution by Geographic Distribution"/>
    <tableColumn id="2" name="Number of Contracts" dataDxfId="68">
      <calculatedColumnFormula>+Tabelle73[[#This Row],[Number of Contracts2]]+Tabelle73[[#This Row],[Number of Contracts4]]</calculatedColumnFormula>
    </tableColumn>
    <tableColumn id="3" name="Percentage of Contracts" dataDxfId="67">
      <calculatedColumnFormula>Tabelle56[[#This Row],[Number of Contracts]]/$C$46</calculatedColumnFormula>
    </tableColumn>
    <tableColumn id="4" name="Outstanding Discounted Principal Balance" dataDxfId="66">
      <calculatedColumnFormula>+Tabelle73[[#This Row],[Outstanding Discounted Principal Balance3]]+Tabelle73[[#This Row],[Outstanding Discounted Principal Balance6]]</calculatedColumnFormula>
    </tableColumn>
    <tableColumn id="5" name="Percentage of Discounted Principal Balance" dataDxfId="65">
      <calculatedColumnFormula>Tabelle56[[#This Row],[Outstanding Discounted Principal Balance]]/$E$46</calculatedColumnFormula>
    </tableColumn>
  </tableColumns>
  <tableStyleInfo name="TableStyleMedium16 2" showFirstColumn="0" showLastColumn="0" showRowStripes="1" showColumnStripes="0"/>
</table>
</file>

<file path=xl/tables/table43.xml><?xml version="1.0" encoding="utf-8"?>
<table xmlns="http://schemas.openxmlformats.org/spreadsheetml/2006/main" id="57" name="Tabelle57" displayName="Tabelle57" ref="B9:F14" totalsRowShown="0" headerRowDxfId="64">
  <tableColumns count="5">
    <tableColumn id="1" name="Distribution by brand" dataDxfId="63"/>
    <tableColumn id="2" name="Number of Contracts" dataDxfId="62">
      <calculatedColumnFormula>+'Pool Data V'!C41</calculatedColumnFormula>
    </tableColumn>
    <tableColumn id="3" name="Percentage of Contracts" dataDxfId="61">
      <calculatedColumnFormula>+'Pool Data V'!#REF!</calculatedColumnFormula>
    </tableColumn>
    <tableColumn id="4" name="Outstanding Discounted Principal Balance" dataDxfId="60">
      <calculatedColumnFormula>+'Pool Data V'!E40</calculatedColumnFormula>
    </tableColumn>
    <tableColumn id="5" name="Percentage of Discounted Principal Balance" dataDxfId="59">
      <calculatedColumnFormula>Tabelle57[[#This Row],[Outstanding Discounted Principal Balance]]/$E$14</calculatedColumnFormula>
    </tableColumn>
  </tableColumns>
  <tableStyleInfo name="TableStyleMedium16 2" showFirstColumn="0" showLastColumn="0" showRowStripes="1" showColumnStripes="0"/>
</table>
</file>

<file path=xl/tables/table44.xml><?xml version="1.0" encoding="utf-8"?>
<table xmlns="http://schemas.openxmlformats.org/spreadsheetml/2006/main" id="72" name="Tabelle72" displayName="Tabelle72" ref="G9:N14" totalsRowShown="0" headerRowDxfId="58" dataDxfId="57">
  <tableColumns count="8">
    <tableColumn id="1" name="Number of Contracts2" dataDxfId="56">
      <calculatedColumnFormula>+'Pool Data V'!G40</calculatedColumnFormula>
    </tableColumn>
    <tableColumn id="2" name="Outstanding Discounted Principal Balance3" dataDxfId="55">
      <calculatedColumnFormula>SUM(H6:H9)</calculatedColumnFormula>
    </tableColumn>
    <tableColumn id="3" name="Number of Contracts4" dataDxfId="54">
      <calculatedColumnFormula>SUM(I6:I9)</calculatedColumnFormula>
    </tableColumn>
    <tableColumn id="4" name="Outstanding Discounted Principal Balance6" dataDxfId="53">
      <calculatedColumnFormula>SUM(J6:J9)</calculatedColumnFormula>
    </tableColumn>
    <tableColumn id="7" name="Number of Contracts8" dataDxfId="52">
      <calculatedColumnFormula>SUM(M6:M9)</calculatedColumnFormula>
    </tableColumn>
    <tableColumn id="8" name="Outstanding Discounted Principal Balance8" dataDxfId="51">
      <calculatedColumnFormula>SUM(N6:N9)</calculatedColumnFormula>
    </tableColumn>
    <tableColumn id="9" name="Number of Contracts9" dataDxfId="50">
      <calculatedColumnFormula>SUM(#REF!)</calculatedColumnFormula>
    </tableColumn>
    <tableColumn id="10" name="Outstanding Discounted Principal Balance10" dataDxfId="49">
      <calculatedColumnFormula>SUM(#REF!)</calculatedColumnFormula>
    </tableColumn>
  </tableColumns>
  <tableStyleInfo name="TableStyleMedium16 2 2" showFirstColumn="0" showLastColumn="0" showRowStripes="1" showColumnStripes="0"/>
</table>
</file>

<file path=xl/tables/table45.xml><?xml version="1.0" encoding="utf-8"?>
<table xmlns="http://schemas.openxmlformats.org/spreadsheetml/2006/main" id="73" name="Tabelle73" displayName="Tabelle73" ref="G18:N46" totalsRowShown="0" headerRowDxfId="48" dataDxfId="47">
  <tableColumns count="8">
    <tableColumn id="1" name="Number of Contracts2" dataDxfId="46"/>
    <tableColumn id="2" name="Outstanding Discounted Principal Balance3" dataDxfId="45"/>
    <tableColumn id="3" name="Number of Contracts4" dataDxfId="44"/>
    <tableColumn id="4" name="Outstanding Discounted Principal Balance6" dataDxfId="43"/>
    <tableColumn id="7" name="Number of Contracts8" dataDxfId="42" dataCellStyle="Comma"/>
    <tableColumn id="8" name="Outstanding Discounted Principal Balance8" dataDxfId="41"/>
    <tableColumn id="9" name="Number of Contracts9" dataDxfId="40" dataCellStyle="Comma"/>
    <tableColumn id="10" name="Outstanding Discounted Principal Balance10" dataDxfId="39"/>
  </tableColumns>
  <tableStyleInfo name="TableStyleMedium16 2 2" showFirstColumn="0" showLastColumn="0" showRowStripes="1" showColumnStripes="0"/>
</table>
</file>

<file path=xl/tables/table46.xml><?xml version="1.0" encoding="utf-8"?>
<table xmlns="http://schemas.openxmlformats.org/spreadsheetml/2006/main" id="54" name="Tabelle54" displayName="Tabelle54" ref="A9:F50" totalsRowShown="0" headerRowDxfId="38">
  <tableColumns count="6">
    <tableColumn id="1" name="Distribution by Brand &amp; Model"/>
    <tableColumn id="2" name="Model"/>
    <tableColumn id="3" name="Number of Contracts" dataDxfId="37">
      <calculatedColumnFormula>+G10+I10</calculatedColumnFormula>
    </tableColumn>
    <tableColumn id="4" name="Percentage of Contracts" dataDxfId="36" dataCellStyle="Percent">
      <calculatedColumnFormula>+Tabelle54[[#This Row],[Number of Contracts]]/$C$50</calculatedColumnFormula>
    </tableColumn>
    <tableColumn id="5" name="Outstanding Discounted Principal Balance" dataDxfId="35">
      <calculatedColumnFormula>+H10+J10</calculatedColumnFormula>
    </tableColumn>
    <tableColumn id="6" name="Percentage of Discounted Principal Balance" dataDxfId="34" dataCellStyle="Percent">
      <calculatedColumnFormula>+Tabelle54[[#This Row],[Outstanding Discounted Principal Balance]]/$E$50</calculatedColumnFormula>
    </tableColumn>
  </tableColumns>
  <tableStyleInfo name="TableStyleMedium16 2" showFirstColumn="0" showLastColumn="0" showRowStripes="1" showColumnStripes="0"/>
</table>
</file>

<file path=xl/tables/table47.xml><?xml version="1.0" encoding="utf-8"?>
<table xmlns="http://schemas.openxmlformats.org/spreadsheetml/2006/main" id="71" name="Tabelle71" displayName="Tabelle71" ref="G9:N47" totalsRowCount="1" headerRowDxfId="33" totalsRowBorderDxfId="32">
  <tableColumns count="8">
    <tableColumn id="1" name="Number of Contracts2" totalsRowFunction="custom" dataDxfId="31" totalsRowDxfId="30">
      <totalsRowFormula>+SUM(G35:G46)</totalsRowFormula>
    </tableColumn>
    <tableColumn id="2" name="Outstanding Discounted Principal Balance3" totalsRowFunction="custom" dataDxfId="29" totalsRowDxfId="28">
      <totalsRowFormula>+SUM(H35:H46)</totalsRowFormula>
    </tableColumn>
    <tableColumn id="3" name="Number of Contracts4" totalsRowFunction="custom" dataDxfId="27" totalsRowDxfId="26">
      <totalsRowFormula>+SUM(I35:I46)</totalsRowFormula>
    </tableColumn>
    <tableColumn id="4" name="Outstanding Discounted Principal Balance6" totalsRowFunction="custom" dataDxfId="25" totalsRowDxfId="24">
      <totalsRowFormula>+SUM(J35:J46)</totalsRowFormula>
    </tableColumn>
    <tableColumn id="7" name="Number of Contracts8" totalsRowFunction="custom" dataDxfId="23" totalsRowDxfId="22">
      <totalsRowFormula>+SUM(K35:K46)</totalsRowFormula>
    </tableColumn>
    <tableColumn id="8" name="Outstanding Discounted Principal Balance32" totalsRowFunction="custom" dataDxfId="21" totalsRowDxfId="20">
      <totalsRowFormula>+SUM(L35:L46)</totalsRowFormula>
    </tableColumn>
    <tableColumn id="9" name="Number of Contracts9" totalsRowFunction="custom" dataDxfId="19" totalsRowDxfId="18">
      <totalsRowFormula>+SUM(M35:M46)</totalsRowFormula>
    </tableColumn>
    <tableColumn id="10" name="Outstanding Discounted Principal Balance33" totalsRowFunction="custom" dataDxfId="17" totalsRowDxfId="16">
      <totalsRowFormula>+SUM(N35:N46)</totalsRowFormula>
    </tableColumn>
  </tableColumns>
  <tableStyleInfo name="TableStyleMedium16 2 2" showFirstColumn="0" showLastColumn="0" showRowStripes="1" showColumnStripes="0"/>
</table>
</file>

<file path=xl/tables/table48.xml><?xml version="1.0" encoding="utf-8"?>
<table xmlns="http://schemas.openxmlformats.org/spreadsheetml/2006/main" id="7" name="Tabelle578" displayName="Tabelle578" ref="A9:E14" totalsRowShown="0" headerRowDxfId="15">
  <tableColumns count="5">
    <tableColumn id="1" name="EA189 Engine status" dataDxfId="14"/>
    <tableColumn id="2" name="Number of Contracts" dataDxfId="13"/>
    <tableColumn id="3" name="Percentage of Contracts" dataDxfId="12"/>
    <tableColumn id="4" name="Outstanding Discounted Principal Balance" dataDxfId="11"/>
    <tableColumn id="5" name="Percentage of Discounted Principal Balance" dataDxfId="10">
      <calculatedColumnFormula>Tabelle578[[#This Row],[Outstanding Discounted Principal Balance]]/$D$14</calculatedColumnFormula>
    </tableColumn>
  </tableColumns>
  <tableStyleInfo name="TableStyleMedium16 2" showFirstColumn="0" showLastColumn="0" showRowStripes="1" showColumnStripes="0"/>
</table>
</file>

<file path=xl/tables/table49.xml><?xml version="1.0" encoding="utf-8"?>
<table xmlns="http://schemas.openxmlformats.org/spreadsheetml/2006/main" id="13" name="Tabelle7214" displayName="Tabelle7214" ref="F9:M14" totalsRowShown="0" headerRowDxfId="9" dataDxfId="8">
  <tableColumns count="8">
    <tableColumn id="1" name="Number of Contracts2" dataDxfId="7"/>
    <tableColumn id="2" name="Outstanding Discounted Principal Balance3" dataDxfId="6">
      <calculatedColumnFormula>SUM(G6:G9)</calculatedColumnFormula>
    </tableColumn>
    <tableColumn id="3" name="Number of Contracts4" dataDxfId="5">
      <calculatedColumnFormula>SUM(H6:H9)</calculatedColumnFormula>
    </tableColumn>
    <tableColumn id="4" name="Outstanding Discounted Principal Balance6" dataDxfId="4">
      <calculatedColumnFormula>SUM(I6:I9)</calculatedColumnFormula>
    </tableColumn>
    <tableColumn id="7" name="Number of Contracts8" dataDxfId="3">
      <calculatedColumnFormula>SUM(L6:L9)</calculatedColumnFormula>
    </tableColumn>
    <tableColumn id="8" name="Outstanding Discounted Principal Balance8" dataDxfId="2">
      <calculatedColumnFormula>SUM(M6:M9)</calculatedColumnFormula>
    </tableColumn>
    <tableColumn id="9" name="Number of Contracts9" dataDxfId="1">
      <calculatedColumnFormula>SUM(#REF!)</calculatedColumnFormula>
    </tableColumn>
    <tableColumn id="10" name="Outstanding Discounted Principal Balance10" dataDxfId="0">
      <calculatedColumnFormula>SUM(#REF!)</calculatedColumnFormula>
    </tableColumn>
  </tableColumns>
  <tableStyleInfo name="TableStyleMedium16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mailto:rodrigo.conde@moodys.com" TargetMode="External"/><Relationship Id="rId7" Type="http://schemas.openxmlformats.org/officeDocument/2006/relationships/printerSettings" Target="../printerSettings/printerSettings5.bin"/><Relationship Id="rId2" Type="http://schemas.openxmlformats.org/officeDocument/2006/relationships/hyperlink" Target="mailto:atendimento@cetip.com.br" TargetMode="External"/><Relationship Id="rId1" Type="http://schemas.openxmlformats.org/officeDocument/2006/relationships/hyperlink" Target="mailto:bemdtvm@bradesco.com.br" TargetMode="External"/><Relationship Id="rId6" Type="http://schemas.openxmlformats.org/officeDocument/2006/relationships/hyperlink" Target="mailto:FSBR-TESOU-ABS@vwfs.com" TargetMode="External"/><Relationship Id="rId5" Type="http://schemas.openxmlformats.org/officeDocument/2006/relationships/hyperlink" Target="mailto:ely.mizrahi@moodys.com" TargetMode="External"/><Relationship Id="rId4" Type="http://schemas.openxmlformats.org/officeDocument/2006/relationships/hyperlink" Target="http://www.itau.com.b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5.xml"/><Relationship Id="rId1" Type="http://schemas.openxmlformats.org/officeDocument/2006/relationships/printerSettings" Target="../printerSettings/printerSettings8.bin"/><Relationship Id="rId5" Type="http://schemas.openxmlformats.org/officeDocument/2006/relationships/table" Target="../tables/table6.xml"/><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6.xml"/><Relationship Id="rId1" Type="http://schemas.openxmlformats.org/officeDocument/2006/relationships/printerSettings" Target="../printerSettings/printerSettings9.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7.xml"/><Relationship Id="rId1" Type="http://schemas.openxmlformats.org/officeDocument/2006/relationships/printerSettings" Target="../printerSettings/printerSettings10.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9.xml"/><Relationship Id="rId1" Type="http://schemas.openxmlformats.org/officeDocument/2006/relationships/printerSettings" Target="../printerSettings/printerSettings12.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drawing" Target="../drawings/drawing30.xml"/><Relationship Id="rId1" Type="http://schemas.openxmlformats.org/officeDocument/2006/relationships/printerSettings" Target="../printerSettings/printerSettings17.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31.xml"/><Relationship Id="rId1" Type="http://schemas.openxmlformats.org/officeDocument/2006/relationships/printerSettings" Target="../printerSettings/printerSettings18.bin"/><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4.xml"/><Relationship Id="rId1" Type="http://schemas.openxmlformats.org/officeDocument/2006/relationships/printerSettings" Target="../printerSettings/printerSettings20.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5.xml"/><Relationship Id="rId1" Type="http://schemas.openxmlformats.org/officeDocument/2006/relationships/printerSettings" Target="../printerSettings/printerSettings21.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6.xml"/><Relationship Id="rId1" Type="http://schemas.openxmlformats.org/officeDocument/2006/relationships/printerSettings" Target="../printerSettings/printerSettings22.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37.xml"/><Relationship Id="rId1" Type="http://schemas.openxmlformats.org/officeDocument/2006/relationships/printerSettings" Target="../printerSettings/printerSettings23.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38.xml"/><Relationship Id="rId1" Type="http://schemas.openxmlformats.org/officeDocument/2006/relationships/printerSettings" Target="../printerSettings/printerSettings24.bin"/><Relationship Id="rId4" Type="http://schemas.openxmlformats.org/officeDocument/2006/relationships/table" Target="../tables/table47.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9.xml"/><Relationship Id="rId1" Type="http://schemas.openxmlformats.org/officeDocument/2006/relationships/printerSettings" Target="../printerSettings/printerSettings25.bin"/><Relationship Id="rId4" Type="http://schemas.openxmlformats.org/officeDocument/2006/relationships/table" Target="../tables/table4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260"/>
  <sheetViews>
    <sheetView showGridLines="0" zoomScale="90" zoomScaleNormal="90" workbookViewId="0">
      <selection activeCell="B12" sqref="B12"/>
    </sheetView>
  </sheetViews>
  <sheetFormatPr defaultColWidth="0" defaultRowHeight="12.75" zeroHeight="1"/>
  <cols>
    <col min="1" max="1" width="1.42578125" style="40" customWidth="1"/>
    <col min="2" max="2" width="31" style="40" customWidth="1"/>
    <col min="3" max="3" width="18.5703125" style="40" bestFit="1" customWidth="1"/>
    <col min="4" max="4" width="20.42578125" style="40" bestFit="1" customWidth="1"/>
    <col min="5" max="6" width="18.140625" style="40" bestFit="1" customWidth="1"/>
    <col min="7" max="7" width="15.5703125" style="40" customWidth="1"/>
    <col min="8" max="8" width="15.42578125" style="40" customWidth="1"/>
    <col min="9" max="9" width="16.85546875" style="40" customWidth="1"/>
    <col min="10" max="10" width="14.140625" style="40" bestFit="1" customWidth="1"/>
    <col min="11" max="11" width="5.42578125" style="40" bestFit="1" customWidth="1"/>
    <col min="12" max="12" width="19.7109375" style="40" hidden="1" customWidth="1"/>
    <col min="13" max="13" width="20.28515625" style="40" hidden="1" customWidth="1"/>
    <col min="14" max="15" width="11.42578125" style="40" hidden="1" customWidth="1"/>
    <col min="16" max="16384" width="11.42578125" style="40" hidden="1"/>
  </cols>
  <sheetData>
    <row r="1" spans="1:10"/>
    <row r="2" spans="1:10" ht="15.75">
      <c r="A2" s="418" t="s">
        <v>78</v>
      </c>
    </row>
    <row r="3" spans="1:10" ht="13.5" thickBot="1"/>
    <row r="4" spans="1:10" ht="13.5" thickBot="1">
      <c r="B4" s="767" t="s">
        <v>95</v>
      </c>
      <c r="C4" s="768"/>
      <c r="D4" s="751" t="s">
        <v>96</v>
      </c>
      <c r="E4" s="752"/>
      <c r="F4" s="752"/>
      <c r="G4" s="752"/>
      <c r="H4" s="752"/>
      <c r="I4" s="753"/>
    </row>
    <row r="5" spans="1:10">
      <c r="B5" s="85" t="s">
        <v>66</v>
      </c>
      <c r="C5" s="86">
        <v>43890</v>
      </c>
      <c r="D5" s="771" t="s">
        <v>204</v>
      </c>
      <c r="E5" s="772"/>
      <c r="F5" s="369">
        <v>0</v>
      </c>
      <c r="G5" s="754" t="s">
        <v>215</v>
      </c>
      <c r="H5" s="755"/>
      <c r="I5" s="749">
        <v>0</v>
      </c>
    </row>
    <row r="6" spans="1:10">
      <c r="B6" s="87" t="s">
        <v>7</v>
      </c>
      <c r="C6" s="88">
        <v>9</v>
      </c>
      <c r="D6" s="762" t="s">
        <v>206</v>
      </c>
      <c r="E6" s="763"/>
      <c r="F6" s="370">
        <v>0</v>
      </c>
      <c r="G6" s="756"/>
      <c r="H6" s="757"/>
      <c r="I6" s="750"/>
    </row>
    <row r="7" spans="1:10" ht="12.75" customHeight="1">
      <c r="B7" s="87" t="s">
        <v>65</v>
      </c>
      <c r="C7" s="407">
        <v>43895</v>
      </c>
      <c r="D7" s="762" t="s">
        <v>207</v>
      </c>
      <c r="E7" s="763"/>
      <c r="F7" s="368">
        <v>0</v>
      </c>
      <c r="G7" s="754" t="s">
        <v>218</v>
      </c>
      <c r="H7" s="755"/>
      <c r="I7" s="750">
        <v>0</v>
      </c>
    </row>
    <row r="8" spans="1:10">
      <c r="B8" s="87" t="s">
        <v>6</v>
      </c>
      <c r="C8" s="407">
        <v>43867</v>
      </c>
      <c r="D8" s="762" t="s">
        <v>209</v>
      </c>
      <c r="E8" s="763"/>
      <c r="F8" s="368">
        <v>0</v>
      </c>
      <c r="G8" s="756"/>
      <c r="H8" s="757"/>
      <c r="I8" s="750"/>
    </row>
    <row r="9" spans="1:10">
      <c r="B9" s="87" t="s">
        <v>64</v>
      </c>
      <c r="C9" s="407">
        <v>43895</v>
      </c>
      <c r="D9" s="762" t="s">
        <v>210</v>
      </c>
      <c r="E9" s="763"/>
      <c r="F9" s="368">
        <v>0</v>
      </c>
      <c r="G9" s="758" t="s">
        <v>216</v>
      </c>
      <c r="H9" s="759"/>
      <c r="I9" s="750">
        <v>0</v>
      </c>
    </row>
    <row r="10" spans="1:10">
      <c r="B10" s="87" t="s">
        <v>68</v>
      </c>
      <c r="C10" s="407">
        <v>43837</v>
      </c>
      <c r="D10" s="762" t="s">
        <v>230</v>
      </c>
      <c r="E10" s="763"/>
      <c r="F10" s="368">
        <v>0</v>
      </c>
      <c r="G10" s="760"/>
      <c r="H10" s="761"/>
      <c r="I10" s="750"/>
    </row>
    <row r="11" spans="1:10">
      <c r="B11" s="87" t="s">
        <v>67</v>
      </c>
      <c r="C11" s="407">
        <v>43867</v>
      </c>
      <c r="D11" s="762" t="s">
        <v>211</v>
      </c>
      <c r="E11" s="763"/>
      <c r="F11" s="368">
        <v>0</v>
      </c>
      <c r="G11" s="764" t="s">
        <v>217</v>
      </c>
      <c r="H11" s="763"/>
      <c r="I11" s="368">
        <v>0</v>
      </c>
    </row>
    <row r="12" spans="1:10">
      <c r="B12" s="87" t="s">
        <v>490</v>
      </c>
      <c r="C12" s="679">
        <v>4.1500000000000002E-2</v>
      </c>
      <c r="D12" s="762" t="s">
        <v>212</v>
      </c>
      <c r="E12" s="763"/>
      <c r="F12" s="368">
        <v>0</v>
      </c>
      <c r="G12" s="764" t="s">
        <v>219</v>
      </c>
      <c r="H12" s="763"/>
      <c r="I12" s="368">
        <v>0</v>
      </c>
    </row>
    <row r="13" spans="1:10">
      <c r="B13" s="87"/>
      <c r="C13" s="89"/>
      <c r="D13" s="762" t="s">
        <v>213</v>
      </c>
      <c r="E13" s="763"/>
      <c r="F13" s="368">
        <v>0</v>
      </c>
      <c r="G13" s="764" t="s">
        <v>220</v>
      </c>
      <c r="H13" s="763"/>
      <c r="I13" s="368">
        <v>0</v>
      </c>
    </row>
    <row r="14" spans="1:10" ht="13.5" thickBot="1">
      <c r="B14" s="90"/>
      <c r="C14" s="91"/>
      <c r="D14" s="769" t="s">
        <v>214</v>
      </c>
      <c r="E14" s="766"/>
      <c r="F14" s="371">
        <v>0</v>
      </c>
      <c r="G14" s="765"/>
      <c r="H14" s="766"/>
      <c r="I14" s="91"/>
    </row>
    <row r="15" spans="1:10" ht="3" customHeight="1" thickBot="1">
      <c r="D15" s="84"/>
    </row>
    <row r="16" spans="1:10" ht="13.5" thickBot="1">
      <c r="B16" s="767" t="s">
        <v>97</v>
      </c>
      <c r="C16" s="768"/>
      <c r="D16" s="39"/>
      <c r="G16" s="97"/>
      <c r="H16" s="97"/>
      <c r="I16" s="97"/>
      <c r="J16" s="97"/>
    </row>
    <row r="17" spans="1:13">
      <c r="B17" s="93" t="s">
        <v>91</v>
      </c>
      <c r="C17" s="92">
        <v>0</v>
      </c>
      <c r="G17" s="97"/>
      <c r="H17" s="97"/>
      <c r="I17" s="97"/>
      <c r="J17" s="97"/>
    </row>
    <row r="18" spans="1:13">
      <c r="B18" s="93" t="s">
        <v>93</v>
      </c>
      <c r="C18" s="92">
        <v>0</v>
      </c>
      <c r="G18" s="748"/>
      <c r="H18" s="748"/>
      <c r="I18" s="747"/>
      <c r="J18" s="97"/>
    </row>
    <row r="19" spans="1:13">
      <c r="B19" s="87" t="s">
        <v>98</v>
      </c>
      <c r="C19" s="95" t="s">
        <v>104</v>
      </c>
      <c r="G19" s="748"/>
      <c r="H19" s="748"/>
      <c r="I19" s="747"/>
      <c r="J19" s="97"/>
    </row>
    <row r="20" spans="1:13">
      <c r="B20" s="87" t="s">
        <v>99</v>
      </c>
      <c r="C20" s="95" t="s">
        <v>104</v>
      </c>
      <c r="G20" s="748"/>
      <c r="H20" s="748"/>
      <c r="I20" s="747"/>
      <c r="J20" s="97"/>
    </row>
    <row r="21" spans="1:13">
      <c r="B21" s="87" t="s">
        <v>100</v>
      </c>
      <c r="C21" s="95" t="s">
        <v>104</v>
      </c>
      <c r="G21" s="748"/>
      <c r="H21" s="748"/>
      <c r="I21" s="747"/>
      <c r="J21" s="97"/>
    </row>
    <row r="22" spans="1:13">
      <c r="B22" s="87" t="s">
        <v>101</v>
      </c>
      <c r="C22" s="95" t="s">
        <v>103</v>
      </c>
      <c r="G22" s="691"/>
      <c r="H22" s="97"/>
      <c r="I22" s="97"/>
      <c r="J22" s="97"/>
    </row>
    <row r="23" spans="1:13">
      <c r="B23" s="87" t="s">
        <v>105</v>
      </c>
      <c r="C23" s="95" t="s">
        <v>103</v>
      </c>
      <c r="G23" s="692"/>
      <c r="H23" s="97"/>
      <c r="I23" s="97"/>
      <c r="J23" s="97"/>
    </row>
    <row r="24" spans="1:13" ht="13.5" thickBot="1">
      <c r="B24" s="90" t="s">
        <v>106</v>
      </c>
      <c r="C24" s="96"/>
    </row>
    <row r="25" spans="1:13"/>
    <row r="26" spans="1:13">
      <c r="D26" s="84"/>
    </row>
    <row r="27" spans="1:13" ht="15.75">
      <c r="A27" s="418" t="s">
        <v>69</v>
      </c>
      <c r="B27" s="41"/>
      <c r="C27" s="41"/>
      <c r="D27" s="41"/>
      <c r="E27" s="41"/>
      <c r="F27" s="41"/>
      <c r="G27" s="41"/>
      <c r="H27" s="41"/>
      <c r="I27" s="41"/>
      <c r="J27" s="41"/>
      <c r="K27" s="41"/>
      <c r="L27" s="41"/>
      <c r="M27" s="41"/>
    </row>
    <row r="28" spans="1:13">
      <c r="A28" s="39"/>
      <c r="B28" s="41"/>
      <c r="C28" s="41"/>
      <c r="D28" s="41"/>
      <c r="E28" s="41"/>
      <c r="F28" s="41"/>
      <c r="G28" s="41"/>
      <c r="H28" s="41"/>
      <c r="I28" s="41"/>
      <c r="J28" s="41"/>
      <c r="K28" s="41"/>
      <c r="L28" s="41"/>
      <c r="M28" s="41"/>
    </row>
    <row r="29" spans="1:13" ht="25.5">
      <c r="A29" s="41"/>
      <c r="B29" s="419"/>
      <c r="C29" s="423" t="s">
        <v>264</v>
      </c>
      <c r="D29" s="421" t="s">
        <v>26</v>
      </c>
      <c r="E29" s="420" t="s">
        <v>70</v>
      </c>
      <c r="F29" s="422" t="s">
        <v>114</v>
      </c>
      <c r="G29" s="423" t="s">
        <v>72</v>
      </c>
      <c r="H29" s="423" t="s">
        <v>73</v>
      </c>
      <c r="I29" s="423" t="s">
        <v>74</v>
      </c>
    </row>
    <row r="30" spans="1:13" ht="15">
      <c r="A30" s="41"/>
      <c r="B30" s="42" t="s">
        <v>316</v>
      </c>
      <c r="C30" s="690">
        <v>1000000000</v>
      </c>
      <c r="D30" s="693">
        <f>1-C30/C34</f>
        <v>8.5529489095398481E-2</v>
      </c>
      <c r="E30" s="718" t="s">
        <v>635</v>
      </c>
      <c r="F30" s="694">
        <v>1.06</v>
      </c>
      <c r="G30" s="695" t="s">
        <v>625</v>
      </c>
      <c r="H30" s="696"/>
      <c r="I30" s="697">
        <v>10000</v>
      </c>
    </row>
    <row r="31" spans="1:13" ht="15">
      <c r="A31" s="41"/>
      <c r="B31" s="41" t="s">
        <v>317</v>
      </c>
      <c r="C31" s="690">
        <v>0</v>
      </c>
      <c r="D31" s="414"/>
      <c r="E31" s="414"/>
      <c r="F31" s="416"/>
      <c r="G31" s="408"/>
      <c r="H31" s="409"/>
      <c r="I31" s="487"/>
    </row>
    <row r="32" spans="1:13" ht="15">
      <c r="A32" s="41"/>
      <c r="B32" s="41" t="s">
        <v>318</v>
      </c>
      <c r="C32" s="690">
        <v>109900000</v>
      </c>
      <c r="D32" s="414"/>
      <c r="E32" s="414"/>
      <c r="F32" s="43"/>
      <c r="G32" s="43"/>
      <c r="H32" s="43"/>
      <c r="I32" s="43"/>
    </row>
    <row r="33" spans="1:10" ht="15">
      <c r="A33" s="41"/>
      <c r="B33" s="41" t="s">
        <v>319</v>
      </c>
      <c r="C33" s="690">
        <v>10000000</v>
      </c>
      <c r="D33" s="414"/>
      <c r="E33" s="414"/>
      <c r="F33" s="43"/>
      <c r="G33" s="43"/>
      <c r="H33" s="43"/>
      <c r="I33" s="43"/>
    </row>
    <row r="34" spans="1:10">
      <c r="B34" s="40" t="s">
        <v>315</v>
      </c>
      <c r="C34" s="690">
        <v>1093528974.5</v>
      </c>
      <c r="D34" s="44"/>
    </row>
    <row r="35" spans="1:10" ht="2.25" customHeight="1">
      <c r="B35" s="424"/>
      <c r="C35" s="425"/>
      <c r="D35" s="426"/>
      <c r="E35" s="427"/>
      <c r="F35" s="424"/>
      <c r="G35" s="424"/>
      <c r="H35" s="424"/>
      <c r="I35" s="424"/>
      <c r="J35" s="424"/>
    </row>
    <row r="36" spans="1:10" ht="38.25">
      <c r="B36" s="419"/>
      <c r="C36" s="423" t="s">
        <v>75</v>
      </c>
      <c r="D36" s="423" t="s">
        <v>60</v>
      </c>
      <c r="E36" s="423" t="s">
        <v>71</v>
      </c>
      <c r="F36" s="422" t="s">
        <v>18</v>
      </c>
      <c r="G36" s="422" t="s">
        <v>85</v>
      </c>
      <c r="H36" s="422" t="s">
        <v>22</v>
      </c>
      <c r="I36" s="423" t="s">
        <v>115</v>
      </c>
      <c r="J36" s="428" t="s">
        <v>116</v>
      </c>
    </row>
    <row r="37" spans="1:10">
      <c r="B37" s="42" t="str">
        <f>+B30</f>
        <v>Senior Tranche</v>
      </c>
      <c r="C37" s="702">
        <f>+C30/I30</f>
        <v>100000</v>
      </c>
      <c r="D37" s="688" t="s">
        <v>636</v>
      </c>
      <c r="E37" s="710" t="s">
        <v>275</v>
      </c>
      <c r="F37" s="703" t="s">
        <v>320</v>
      </c>
      <c r="G37" s="703" t="s">
        <v>20</v>
      </c>
      <c r="H37" s="703" t="s">
        <v>321</v>
      </c>
      <c r="I37" s="704">
        <v>0.1</v>
      </c>
      <c r="J37" s="704">
        <v>0.1</v>
      </c>
    </row>
    <row r="38" spans="1:10">
      <c r="B38" s="41" t="str">
        <f>+B31</f>
        <v>Mezanine Tranche</v>
      </c>
      <c r="C38" s="411"/>
      <c r="D38" s="412"/>
      <c r="E38" s="412"/>
      <c r="F38" s="410"/>
      <c r="G38" s="410"/>
      <c r="H38" s="410"/>
      <c r="I38" s="413"/>
      <c r="J38" s="413"/>
    </row>
    <row r="39" spans="1:10" ht="1.5" customHeight="1"/>
    <row r="40" spans="1:10" ht="38.25">
      <c r="B40" s="419"/>
      <c r="C40" s="428" t="s">
        <v>117</v>
      </c>
      <c r="D40" s="428" t="s">
        <v>118</v>
      </c>
      <c r="E40" s="428" t="s">
        <v>145</v>
      </c>
      <c r="F40" s="428" t="s">
        <v>146</v>
      </c>
      <c r="G40" s="428" t="s">
        <v>147</v>
      </c>
      <c r="H40" s="428" t="s">
        <v>148</v>
      </c>
      <c r="I40" s="428" t="s">
        <v>149</v>
      </c>
      <c r="J40" s="428" t="s">
        <v>150</v>
      </c>
    </row>
    <row r="41" spans="1:10">
      <c r="B41" s="42" t="s">
        <v>76</v>
      </c>
      <c r="C41" s="719">
        <f>+I37+1%</f>
        <v>0.11</v>
      </c>
      <c r="D41" s="705">
        <v>1</v>
      </c>
      <c r="E41" s="706" t="s">
        <v>579</v>
      </c>
      <c r="F41" s="706" t="s">
        <v>330</v>
      </c>
      <c r="G41" s="707"/>
      <c r="H41" s="706" t="str">
        <f>+E41</f>
        <v>AAA(bra)</v>
      </c>
      <c r="I41" s="706" t="str">
        <f>+F41</f>
        <v>Aaa.br</v>
      </c>
      <c r="J41" s="494"/>
    </row>
    <row r="42" spans="1:10">
      <c r="B42" s="41" t="s">
        <v>77</v>
      </c>
      <c r="C42" s="650"/>
      <c r="D42" s="492"/>
      <c r="E42" s="494"/>
      <c r="F42" s="493"/>
      <c r="G42" s="494"/>
      <c r="H42" s="494"/>
      <c r="I42" s="493"/>
      <c r="J42" s="494"/>
    </row>
    <row r="43" spans="1:10"/>
    <row r="44" spans="1:10"/>
    <row r="45" spans="1:10"/>
    <row r="46" spans="1:10"/>
    <row r="47" spans="1:10" ht="15">
      <c r="B47" s="770" t="s">
        <v>48</v>
      </c>
      <c r="C47" s="770"/>
      <c r="D47" s="685">
        <v>43656</v>
      </c>
      <c r="G47" s="31"/>
      <c r="H47" s="32"/>
      <c r="I47" s="31"/>
    </row>
    <row r="48" spans="1:10" ht="15">
      <c r="B48" s="746" t="s">
        <v>8</v>
      </c>
      <c r="C48" s="746"/>
      <c r="D48" s="685">
        <v>43648</v>
      </c>
      <c r="G48" s="31"/>
      <c r="H48" s="32"/>
      <c r="I48" s="31"/>
    </row>
    <row r="49" spans="2:9" ht="15">
      <c r="B49" s="746" t="s">
        <v>79</v>
      </c>
      <c r="C49" s="746"/>
      <c r="D49" s="686">
        <v>7.7589000000000005E-2</v>
      </c>
      <c r="G49" s="31"/>
      <c r="H49" s="32"/>
      <c r="I49" s="31"/>
    </row>
    <row r="50" spans="2:9" hidden="1">
      <c r="B50" s="746" t="s">
        <v>80</v>
      </c>
      <c r="C50" s="746"/>
      <c r="D50" s="708">
        <v>0.01</v>
      </c>
    </row>
    <row r="51" spans="2:9" hidden="1">
      <c r="B51" s="746" t="s">
        <v>81</v>
      </c>
      <c r="C51" s="746"/>
      <c r="D51" s="709">
        <v>2.9999999999999997E-4</v>
      </c>
    </row>
    <row r="52" spans="2:9">
      <c r="B52" s="746" t="s">
        <v>82</v>
      </c>
      <c r="C52" s="746"/>
      <c r="D52" s="687">
        <v>0.1</v>
      </c>
    </row>
    <row r="53" spans="2:9">
      <c r="B53" s="746" t="s">
        <v>94</v>
      </c>
      <c r="C53" s="746"/>
      <c r="D53" s="687">
        <v>0.1</v>
      </c>
    </row>
    <row r="54" spans="2:9">
      <c r="B54" s="746" t="s">
        <v>83</v>
      </c>
      <c r="C54" s="746"/>
      <c r="D54" s="689">
        <v>0.01</v>
      </c>
    </row>
    <row r="55" spans="2:9">
      <c r="B55" s="746" t="s">
        <v>84</v>
      </c>
      <c r="C55" s="746"/>
      <c r="D55" s="726">
        <f>D54*D94</f>
        <v>10935289.745000001</v>
      </c>
    </row>
    <row r="56" spans="2:9" hidden="1">
      <c r="B56" s="746" t="s">
        <v>86</v>
      </c>
      <c r="C56" s="746"/>
      <c r="D56" s="709">
        <v>5.8999999999999999E-3</v>
      </c>
    </row>
    <row r="57" spans="2:9" hidden="1">
      <c r="B57" s="746" t="s">
        <v>87</v>
      </c>
      <c r="C57" s="746"/>
      <c r="D57" s="689">
        <v>0</v>
      </c>
    </row>
    <row r="58" spans="2:9" hidden="1">
      <c r="B58" s="746" t="s">
        <v>88</v>
      </c>
      <c r="C58" s="746"/>
      <c r="D58" s="709">
        <v>0</v>
      </c>
    </row>
    <row r="59" spans="2:9">
      <c r="B59" s="112" t="s">
        <v>130</v>
      </c>
      <c r="C59" s="112"/>
      <c r="D59" s="698">
        <v>1.4999999999999999E-2</v>
      </c>
    </row>
    <row r="60" spans="2:9">
      <c r="B60" s="112" t="s">
        <v>131</v>
      </c>
      <c r="C60" s="112"/>
      <c r="D60" s="699">
        <v>44043</v>
      </c>
    </row>
    <row r="61" spans="2:9">
      <c r="B61" s="112" t="s">
        <v>132</v>
      </c>
      <c r="C61" s="112"/>
      <c r="D61" s="698">
        <v>3.5000000000000003E-2</v>
      </c>
    </row>
    <row r="62" spans="2:9">
      <c r="B62" s="112" t="s">
        <v>133</v>
      </c>
      <c r="C62" s="112"/>
      <c r="D62" s="700">
        <v>44408</v>
      </c>
    </row>
    <row r="63" spans="2:9">
      <c r="B63" s="112" t="s">
        <v>134</v>
      </c>
      <c r="D63" s="698">
        <v>0.05</v>
      </c>
    </row>
    <row r="64" spans="2:9">
      <c r="B64" s="40" t="s">
        <v>0</v>
      </c>
      <c r="D64" s="701" t="s">
        <v>614</v>
      </c>
    </row>
    <row r="65" spans="2:5" ht="127.5">
      <c r="B65" s="119" t="s">
        <v>1</v>
      </c>
      <c r="D65" s="415" t="s">
        <v>269</v>
      </c>
    </row>
    <row r="66" spans="2:5" ht="25.5">
      <c r="B66" s="119" t="s">
        <v>159</v>
      </c>
      <c r="D66" s="415" t="s">
        <v>2</v>
      </c>
    </row>
    <row r="67" spans="2:5" ht="38.25">
      <c r="B67" s="119" t="s">
        <v>160</v>
      </c>
      <c r="D67" s="415" t="s">
        <v>158</v>
      </c>
    </row>
    <row r="68" spans="2:5" ht="25.5">
      <c r="B68" s="119" t="s">
        <v>136</v>
      </c>
      <c r="D68" s="415" t="s">
        <v>2</v>
      </c>
    </row>
    <row r="69" spans="2:5" ht="89.25">
      <c r="B69" s="121" t="s">
        <v>3</v>
      </c>
      <c r="D69" s="415" t="s">
        <v>263</v>
      </c>
    </row>
    <row r="70" spans="2:5" ht="63.75">
      <c r="B70" s="121" t="s">
        <v>4</v>
      </c>
      <c r="D70" s="727" t="s">
        <v>641</v>
      </c>
    </row>
    <row r="71" spans="2:5" ht="153">
      <c r="B71" s="445" t="s">
        <v>267</v>
      </c>
      <c r="D71" s="415" t="s">
        <v>268</v>
      </c>
    </row>
    <row r="72" spans="2:5">
      <c r="B72" s="40" t="s">
        <v>140</v>
      </c>
      <c r="D72" s="701" t="s">
        <v>139</v>
      </c>
    </row>
    <row r="73" spans="2:5"/>
    <row r="74" spans="2:5">
      <c r="B74" s="40" t="s">
        <v>113</v>
      </c>
      <c r="E74" s="43"/>
    </row>
    <row r="75" spans="2:5"/>
    <row r="76" spans="2:5"/>
    <row r="77" spans="2:5" hidden="1">
      <c r="B77" s="746" t="s">
        <v>126</v>
      </c>
      <c r="C77" s="746"/>
      <c r="D77" s="711">
        <v>750006508.09000003</v>
      </c>
    </row>
    <row r="78" spans="2:5" hidden="1">
      <c r="B78" s="40" t="s">
        <v>90</v>
      </c>
      <c r="D78" s="711">
        <v>750006508.09000003</v>
      </c>
    </row>
    <row r="79" spans="2:5" hidden="1">
      <c r="B79" s="40" t="s">
        <v>107</v>
      </c>
      <c r="D79" s="711">
        <v>697500000</v>
      </c>
    </row>
    <row r="80" spans="2:5" hidden="1">
      <c r="B80" s="40" t="s">
        <v>108</v>
      </c>
      <c r="D80" s="711">
        <v>21000000</v>
      </c>
    </row>
    <row r="81" spans="2:4" hidden="1">
      <c r="B81" s="40" t="s">
        <v>109</v>
      </c>
      <c r="D81" s="711">
        <v>22506508.09</v>
      </c>
    </row>
    <row r="82" spans="2:4" hidden="1">
      <c r="B82" s="40" t="s">
        <v>110</v>
      </c>
      <c r="D82" s="99">
        <v>0</v>
      </c>
    </row>
    <row r="83" spans="2:4" hidden="1">
      <c r="B83" s="40" t="s">
        <v>111</v>
      </c>
      <c r="D83" s="99">
        <v>0</v>
      </c>
    </row>
    <row r="84" spans="2:4" hidden="1">
      <c r="B84" s="40" t="s">
        <v>112</v>
      </c>
      <c r="D84" s="99">
        <v>0</v>
      </c>
    </row>
    <row r="85" spans="2:4" ht="25.5">
      <c r="B85" s="98" t="s">
        <v>92</v>
      </c>
      <c r="D85" s="712">
        <v>10000000</v>
      </c>
    </row>
    <row r="86" spans="2:4">
      <c r="B86" s="98"/>
      <c r="D86" s="99"/>
    </row>
    <row r="87" spans="2:4">
      <c r="B87" s="773" t="s">
        <v>175</v>
      </c>
      <c r="C87" s="773"/>
      <c r="D87" s="99">
        <v>0</v>
      </c>
    </row>
    <row r="88" spans="2:4">
      <c r="B88" s="773" t="s">
        <v>179</v>
      </c>
      <c r="C88" s="773"/>
      <c r="D88" s="99">
        <v>0</v>
      </c>
    </row>
    <row r="89" spans="2:4">
      <c r="B89" s="773" t="s">
        <v>176</v>
      </c>
      <c r="C89" s="773"/>
      <c r="D89" s="99">
        <v>0</v>
      </c>
    </row>
    <row r="90" spans="2:4">
      <c r="B90" s="773" t="s">
        <v>180</v>
      </c>
      <c r="C90" s="773"/>
      <c r="D90" s="99">
        <v>0</v>
      </c>
    </row>
    <row r="91" spans="2:4">
      <c r="B91" s="773" t="s">
        <v>178</v>
      </c>
      <c r="C91" s="773"/>
      <c r="D91" s="99">
        <v>0</v>
      </c>
    </row>
    <row r="92" spans="2:4">
      <c r="B92" s="773" t="s">
        <v>177</v>
      </c>
      <c r="C92" s="773"/>
      <c r="D92" s="99">
        <v>0</v>
      </c>
    </row>
    <row r="93" spans="2:4">
      <c r="B93" s="770" t="s">
        <v>119</v>
      </c>
      <c r="C93" s="770"/>
      <c r="D93" s="713">
        <v>47434</v>
      </c>
    </row>
    <row r="94" spans="2:4">
      <c r="B94" s="770" t="s">
        <v>336</v>
      </c>
      <c r="C94" s="770"/>
      <c r="D94" s="720">
        <v>1093528974.5</v>
      </c>
    </row>
    <row r="95" spans="2:4">
      <c r="B95" s="106" t="s">
        <v>127</v>
      </c>
      <c r="C95" s="106"/>
      <c r="D95" s="720">
        <v>1198831453.5799999</v>
      </c>
    </row>
    <row r="96" spans="2:4">
      <c r="B96" s="40" t="s">
        <v>121</v>
      </c>
      <c r="D96" s="714">
        <v>36523</v>
      </c>
    </row>
    <row r="97" spans="2:10">
      <c r="B97" s="40" t="s">
        <v>120</v>
      </c>
      <c r="D97" s="720">
        <v>855697159.75999999</v>
      </c>
    </row>
    <row r="98" spans="2:10">
      <c r="B98" s="40" t="s">
        <v>122</v>
      </c>
      <c r="D98" s="713">
        <v>9819</v>
      </c>
    </row>
    <row r="99" spans="2:10">
      <c r="B99" s="40" t="s">
        <v>123</v>
      </c>
      <c r="D99" s="720">
        <v>221280826.94</v>
      </c>
    </row>
    <row r="100" spans="2:10">
      <c r="B100" s="40" t="s">
        <v>124</v>
      </c>
      <c r="D100" s="713">
        <v>1122</v>
      </c>
    </row>
    <row r="101" spans="2:10">
      <c r="B101" s="40" t="s">
        <v>125</v>
      </c>
      <c r="D101" s="720">
        <v>16550987.800000001</v>
      </c>
    </row>
    <row r="102" spans="2:10"/>
    <row r="103" spans="2:10" hidden="1">
      <c r="B103" s="110" t="s">
        <v>128</v>
      </c>
      <c r="C103" s="108">
        <v>5811</v>
      </c>
      <c r="D103" s="97"/>
      <c r="E103" s="97"/>
      <c r="F103" s="97"/>
      <c r="G103" s="97"/>
      <c r="H103" s="97"/>
      <c r="I103" s="97"/>
      <c r="J103" s="97"/>
    </row>
    <row r="104" spans="2:10" ht="25.5" hidden="1">
      <c r="B104" s="109" t="s">
        <v>129</v>
      </c>
      <c r="C104" s="417">
        <v>65772023.359999992</v>
      </c>
      <c r="D104" s="97"/>
      <c r="E104" s="97"/>
      <c r="F104" s="97"/>
      <c r="G104" s="97"/>
      <c r="H104" s="97"/>
      <c r="I104" s="97"/>
      <c r="J104" s="97"/>
    </row>
    <row r="105" spans="2:10">
      <c r="D105" s="97"/>
      <c r="E105" s="97"/>
      <c r="F105" s="97"/>
      <c r="G105" s="97"/>
      <c r="H105" s="97"/>
      <c r="I105" s="97"/>
      <c r="J105" s="97"/>
    </row>
    <row r="106" spans="2:10">
      <c r="D106" s="97"/>
      <c r="E106" s="97"/>
      <c r="F106" s="97"/>
      <c r="G106" s="97"/>
      <c r="H106" s="97"/>
      <c r="I106" s="97"/>
      <c r="J106" s="97"/>
    </row>
    <row r="107" spans="2:10" hidden="1"/>
    <row r="108" spans="2:10" hidden="1"/>
    <row r="109" spans="2:10" hidden="1"/>
    <row r="110" spans="2:10" hidden="1"/>
    <row r="111" spans="2:10" hidden="1"/>
    <row r="112" spans="2:10"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sheetData>
  <mergeCells count="48">
    <mergeCell ref="B93:C93"/>
    <mergeCell ref="B94:C94"/>
    <mergeCell ref="B4:C4"/>
    <mergeCell ref="D5:E5"/>
    <mergeCell ref="D6:E6"/>
    <mergeCell ref="D7:E7"/>
    <mergeCell ref="B87:C87"/>
    <mergeCell ref="B77:C77"/>
    <mergeCell ref="B88:C88"/>
    <mergeCell ref="B90:C90"/>
    <mergeCell ref="B92:C92"/>
    <mergeCell ref="B89:C89"/>
    <mergeCell ref="B91:C91"/>
    <mergeCell ref="B54:C54"/>
    <mergeCell ref="B55:C55"/>
    <mergeCell ref="B56:C56"/>
    <mergeCell ref="G11:H11"/>
    <mergeCell ref="G12:H12"/>
    <mergeCell ref="G13:H13"/>
    <mergeCell ref="G14:H14"/>
    <mergeCell ref="B52:C52"/>
    <mergeCell ref="B16:C16"/>
    <mergeCell ref="D11:E11"/>
    <mergeCell ref="D12:E12"/>
    <mergeCell ref="D13:E13"/>
    <mergeCell ref="D14:E14"/>
    <mergeCell ref="B48:C48"/>
    <mergeCell ref="B47:C47"/>
    <mergeCell ref="G18:H19"/>
    <mergeCell ref="I5:I6"/>
    <mergeCell ref="D4:I4"/>
    <mergeCell ref="G7:H8"/>
    <mergeCell ref="I7:I8"/>
    <mergeCell ref="G9:H10"/>
    <mergeCell ref="I9:I10"/>
    <mergeCell ref="G5:H6"/>
    <mergeCell ref="D8:E8"/>
    <mergeCell ref="D9:E9"/>
    <mergeCell ref="D10:E10"/>
    <mergeCell ref="B57:C57"/>
    <mergeCell ref="B58:C58"/>
    <mergeCell ref="I18:I19"/>
    <mergeCell ref="G20:H21"/>
    <mergeCell ref="I20:I21"/>
    <mergeCell ref="B53:C53"/>
    <mergeCell ref="B49:C49"/>
    <mergeCell ref="B50:C50"/>
    <mergeCell ref="B51:C51"/>
  </mergeCells>
  <dataValidations count="1">
    <dataValidation type="list" allowBlank="1" showInputMessage="1" showErrorMessage="1" sqref="C19:C23">
      <formula1>Yes_No</formula1>
    </dataValidation>
  </dataValidations>
  <pageMargins left="0.7" right="0.7" top="0.78740157499999996" bottom="0.78740157499999996" header="0.3" footer="0.3"/>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33"/>
  <sheetViews>
    <sheetView showGridLines="0" workbookViewId="0">
      <pane ySplit="1" topLeftCell="A2" activePane="bottomLeft" state="frozen"/>
      <selection pane="bottomLeft" activeCell="B12" sqref="B12"/>
    </sheetView>
  </sheetViews>
  <sheetFormatPr defaultColWidth="0" defaultRowHeight="12.75" zeroHeight="1"/>
  <cols>
    <col min="1" max="1" width="7.5703125" bestFit="1" customWidth="1"/>
    <col min="2" max="2" width="44.85546875" bestFit="1" customWidth="1"/>
    <col min="3" max="3" width="1.28515625" customWidth="1"/>
    <col min="4" max="16384" width="11.42578125" hidden="1"/>
  </cols>
  <sheetData>
    <row r="1" spans="1:2">
      <c r="A1" s="452" t="s">
        <v>102</v>
      </c>
      <c r="B1" s="452" t="s">
        <v>270</v>
      </c>
    </row>
    <row r="2" spans="1:2">
      <c r="A2" s="94" t="s">
        <v>103</v>
      </c>
      <c r="B2" t="s">
        <v>204</v>
      </c>
    </row>
    <row r="3" spans="1:2">
      <c r="A3" s="94" t="s">
        <v>104</v>
      </c>
      <c r="B3" t="s">
        <v>205</v>
      </c>
    </row>
    <row r="4" spans="1:2">
      <c r="B4" t="s">
        <v>206</v>
      </c>
    </row>
    <row r="5" spans="1:2">
      <c r="B5" t="s">
        <v>207</v>
      </c>
    </row>
    <row r="6" spans="1:2">
      <c r="B6" t="s">
        <v>208</v>
      </c>
    </row>
    <row r="7" spans="1:2">
      <c r="B7" t="s">
        <v>209</v>
      </c>
    </row>
    <row r="8" spans="1:2">
      <c r="B8" t="s">
        <v>210</v>
      </c>
    </row>
    <row r="9" spans="1:2">
      <c r="B9" t="s">
        <v>230</v>
      </c>
    </row>
    <row r="10" spans="1:2">
      <c r="B10" t="s">
        <v>211</v>
      </c>
    </row>
    <row r="11" spans="1:2">
      <c r="B11" t="s">
        <v>212</v>
      </c>
    </row>
    <row r="12" spans="1:2">
      <c r="B12" t="s">
        <v>213</v>
      </c>
    </row>
    <row r="13" spans="1:2">
      <c r="B13" t="s">
        <v>214</v>
      </c>
    </row>
    <row r="14" spans="1:2">
      <c r="B14" t="s">
        <v>215</v>
      </c>
    </row>
    <row r="15" spans="1:2">
      <c r="B15" t="s">
        <v>218</v>
      </c>
    </row>
    <row r="16" spans="1:2">
      <c r="B16" t="s">
        <v>216</v>
      </c>
    </row>
    <row r="17" spans="2:2">
      <c r="B17" t="s">
        <v>217</v>
      </c>
    </row>
    <row r="18" spans="2:2">
      <c r="B18" t="s">
        <v>220</v>
      </c>
    </row>
    <row r="19" spans="2:2"/>
    <row r="20" spans="2:2"/>
    <row r="21" spans="2:2"/>
    <row r="22" spans="2:2" hidden="1"/>
    <row r="23" spans="2:2" hidden="1"/>
    <row r="24" spans="2:2" hidden="1"/>
    <row r="25" spans="2:2" hidden="1"/>
    <row r="26" spans="2:2" hidden="1"/>
    <row r="27" spans="2:2" hidden="1"/>
    <row r="28" spans="2:2" hidden="1"/>
    <row r="29" spans="2:2" hidden="1"/>
    <row r="30" spans="2:2" hidden="1"/>
    <row r="31" spans="2:2" hidden="1"/>
    <row r="32" spans="2:2" hidden="1"/>
    <row r="33" hidden="1"/>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6" tint="-0.499984740745262"/>
    <pageSetUpPr fitToPage="1"/>
  </sheetPr>
  <dimension ref="A1:J35"/>
  <sheetViews>
    <sheetView topLeftCell="B1" zoomScaleNormal="100" zoomScaleSheetLayoutView="85" workbookViewId="0">
      <selection activeCell="D17" sqref="D17"/>
    </sheetView>
  </sheetViews>
  <sheetFormatPr defaultColWidth="0" defaultRowHeight="12" zeroHeight="1"/>
  <cols>
    <col min="1" max="1" width="2.7109375" style="16" customWidth="1"/>
    <col min="2" max="2" width="4.42578125" style="16" customWidth="1"/>
    <col min="3" max="3" width="35.42578125" style="17" customWidth="1"/>
    <col min="4" max="4" width="59.42578125" style="16" customWidth="1"/>
    <col min="5" max="5" width="11.7109375" style="16" hidden="1" customWidth="1"/>
    <col min="6" max="7" width="11.42578125" style="16" hidden="1" customWidth="1"/>
    <col min="8" max="8" width="21.7109375" style="16" hidden="1" customWidth="1"/>
    <col min="9" max="10" width="14.7109375" style="16" hidden="1" customWidth="1"/>
    <col min="11" max="16384" width="11.42578125" style="16" hidden="1"/>
  </cols>
  <sheetData>
    <row r="1" spans="1:8" s="1" customFormat="1" ht="14.25" customHeight="1">
      <c r="A1" s="131"/>
      <c r="B1" s="131"/>
      <c r="C1" s="132"/>
      <c r="D1" s="133" t="str">
        <f>CONCATENATE("Publication Date: ",TEXT(Input!C7,"DD.MM.AAAA"))</f>
        <v>Publication Date: 05.03.2020</v>
      </c>
    </row>
    <row r="2" spans="1:8" s="1" customFormat="1" ht="14.25" customHeight="1">
      <c r="A2" s="131"/>
      <c r="B2" s="131"/>
      <c r="C2" s="132"/>
      <c r="D2" s="134" t="str">
        <f>CONCATENATE("Period: ",TEXT(Input!$C$5,"MM.AAAA")," / Period No. ",Input!$C$6)</f>
        <v>Period: 02.2020 / Period No. 9</v>
      </c>
    </row>
    <row r="3" spans="1:8" s="1" customFormat="1" ht="14.25" customHeight="1">
      <c r="A3" s="131"/>
      <c r="B3" s="131"/>
      <c r="C3" s="132"/>
      <c r="D3" s="379" t="s">
        <v>236</v>
      </c>
    </row>
    <row r="4" spans="1:8" s="14" customFormat="1" ht="15.75">
      <c r="C4" s="9"/>
      <c r="D4" s="165"/>
    </row>
    <row r="5" spans="1:8" s="14" customFormat="1" ht="18">
      <c r="B5" s="13" t="s">
        <v>0</v>
      </c>
      <c r="D5" s="170" t="str">
        <f>Input!D64</f>
        <v>Driver Brasil Four</v>
      </c>
      <c r="G5" s="171"/>
      <c r="H5" s="171"/>
    </row>
    <row r="6" spans="1:8" s="14" customFormat="1" ht="15.75">
      <c r="B6" s="13"/>
      <c r="D6" s="11"/>
      <c r="G6" s="171"/>
    </row>
    <row r="7" spans="1:8" s="14" customFormat="1" ht="108" customHeight="1">
      <c r="B7" s="272" t="s">
        <v>1</v>
      </c>
      <c r="D7" s="456" t="s">
        <v>615</v>
      </c>
      <c r="G7" s="171"/>
    </row>
    <row r="8" spans="1:8" s="14" customFormat="1" ht="15.75">
      <c r="B8" s="272"/>
      <c r="D8" s="166"/>
      <c r="G8" s="171"/>
    </row>
    <row r="9" spans="1:8" s="14" customFormat="1" ht="15.75">
      <c r="B9" s="273" t="s">
        <v>47</v>
      </c>
      <c r="D9" s="457" t="s">
        <v>272</v>
      </c>
      <c r="E9" s="30"/>
    </row>
    <row r="10" spans="1:8" s="14" customFormat="1" ht="15.75">
      <c r="B10" s="273"/>
      <c r="D10" s="172"/>
      <c r="E10" s="30"/>
    </row>
    <row r="11" spans="1:8" s="14" customFormat="1" ht="15.75">
      <c r="B11" s="130" t="s">
        <v>135</v>
      </c>
      <c r="D11" s="458" t="s">
        <v>272</v>
      </c>
    </row>
    <row r="12" spans="1:8" s="14" customFormat="1" ht="15.75">
      <c r="B12" s="130"/>
      <c r="D12" s="166"/>
    </row>
    <row r="13" spans="1:8" s="14" customFormat="1" ht="104.25" customHeight="1">
      <c r="B13" s="272" t="s">
        <v>3</v>
      </c>
      <c r="D13" s="459" t="s">
        <v>616</v>
      </c>
    </row>
    <row r="14" spans="1:8" s="14" customFormat="1" ht="15.75">
      <c r="B14" s="272"/>
      <c r="D14" s="166"/>
    </row>
    <row r="15" spans="1:8" s="14" customFormat="1" ht="57" customHeight="1">
      <c r="B15" s="272" t="s">
        <v>4</v>
      </c>
      <c r="D15" s="728" t="str">
        <f>Input!D70</f>
        <v xml:space="preserve">Phone: +55 11 5582 5591
Email: TESOU-ABS@vwfs.com
</v>
      </c>
    </row>
    <row r="16" spans="1:8" s="14" customFormat="1" ht="15.75">
      <c r="B16" s="272"/>
      <c r="D16" s="166"/>
    </row>
    <row r="17" spans="2:4" s="14" customFormat="1" ht="106.5" customHeight="1">
      <c r="B17" s="272" t="s">
        <v>273</v>
      </c>
      <c r="C17" s="120"/>
      <c r="D17" s="459" t="s">
        <v>274</v>
      </c>
    </row>
    <row r="18" spans="2:4" s="14" customFormat="1" ht="15.75">
      <c r="B18" s="272"/>
      <c r="D18" s="166"/>
    </row>
    <row r="19" spans="2:4" s="14" customFormat="1" ht="105.75" customHeight="1">
      <c r="B19" s="774"/>
      <c r="C19" s="774"/>
      <c r="D19" s="774"/>
    </row>
    <row r="20" spans="2:4" s="14" customFormat="1" ht="15.75" hidden="1" customHeight="1">
      <c r="C20" s="120"/>
      <c r="D20" s="120"/>
    </row>
    <row r="21" spans="2:4" hidden="1"/>
    <row r="22" spans="2:4" hidden="1"/>
    <row r="23" spans="2:4" hidden="1"/>
    <row r="24" spans="2:4" hidden="1"/>
    <row r="25" spans="2:4" hidden="1"/>
    <row r="26" spans="2:4" hidden="1"/>
    <row r="27" spans="2:4" hidden="1"/>
    <row r="28" spans="2:4" hidden="1"/>
    <row r="29" spans="2:4" hidden="1"/>
    <row r="30" spans="2:4" hidden="1"/>
    <row r="31" spans="2:4" hidden="1"/>
    <row r="32" spans="2:4" hidden="1"/>
    <row r="33"/>
    <row r="34"/>
    <row r="35"/>
  </sheetData>
  <mergeCells count="1">
    <mergeCell ref="B19:D19"/>
  </mergeCells>
  <phoneticPr fontId="26" type="noConversion"/>
  <hyperlinks>
    <hyperlink ref="D3" location="Index!A1" display="Index"/>
  </hyperlinks>
  <printOptions horizontalCentered="1" verticalCentered="1"/>
  <pageMargins left="0.74803149606299213" right="0.78740157480314965" top="0.47244094488188981" bottom="0.51181102362204722" header="0.51181102362204722" footer="0.51181102362204722"/>
  <pageSetup paperSize="9" scale="77" orientation="landscape" r:id="rId1"/>
  <headerFooter alignWithMargins="0">
    <oddFooter>&amp;C1&amp;R&amp;K00-044Banco Volkswagen S.A.
Rua Volkswagen, nº 291
São Paulo - SP - Brazil
Tel: +55 11 5582 5591
TESOU-ABS@vwfs.com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499984740745262"/>
    <pageSetUpPr fitToPage="1"/>
  </sheetPr>
  <dimension ref="A1:H44"/>
  <sheetViews>
    <sheetView tabSelected="1" zoomScaleNormal="100" zoomScaleSheetLayoutView="85" workbookViewId="0">
      <selection activeCell="A17" sqref="A17:E17"/>
    </sheetView>
  </sheetViews>
  <sheetFormatPr defaultColWidth="0" defaultRowHeight="12.75" zeroHeight="1"/>
  <cols>
    <col min="1" max="1" width="8.5703125" style="137" customWidth="1"/>
    <col min="2" max="2" width="78.140625" style="1" bestFit="1" customWidth="1"/>
    <col min="3" max="3" width="0.28515625" style="6" customWidth="1"/>
    <col min="4" max="4" width="11.42578125" style="6" hidden="1" customWidth="1"/>
    <col min="5" max="8" width="4.140625" style="6" hidden="1" customWidth="1"/>
    <col min="9" max="16384" width="11.42578125" style="6" hidden="1"/>
  </cols>
  <sheetData>
    <row r="1" spans="1:3" s="1" customFormat="1" ht="14.25" customHeight="1">
      <c r="A1" s="132"/>
      <c r="B1" s="134" t="str">
        <f>CONCATENATE("Publication Date: ",TEXT(Input!C7,"DD.MM.AAAA"))</f>
        <v>Publication Date: 05.03.2020</v>
      </c>
    </row>
    <row r="2" spans="1:3" s="1" customFormat="1" ht="14.25" customHeight="1">
      <c r="A2" s="132"/>
      <c r="B2" s="134" t="str">
        <f>CONCATENATE("Period: ",TEXT(Input!$C$5,"MM.AAAA")," / Period No. ",Input!$C$6)</f>
        <v>Period: 02.2020 / Period No. 9</v>
      </c>
    </row>
    <row r="3" spans="1:3" s="1" customFormat="1" ht="14.25" customHeight="1">
      <c r="A3" s="132"/>
      <c r="B3" s="380" t="s">
        <v>236</v>
      </c>
    </row>
    <row r="4" spans="1:3" s="1" customFormat="1">
      <c r="C4" s="136"/>
    </row>
    <row r="5" spans="1:3" s="1" customFormat="1" ht="15.75" customHeight="1">
      <c r="A5" s="5" t="s">
        <v>233</v>
      </c>
      <c r="B5" s="5"/>
    </row>
    <row r="6" spans="1:3" s="1" customFormat="1" ht="15.75">
      <c r="A6" s="5"/>
      <c r="B6" s="5"/>
    </row>
    <row r="7" spans="1:3" ht="15.75">
      <c r="A7" s="135" t="s">
        <v>49</v>
      </c>
      <c r="B7" s="135" t="s">
        <v>50</v>
      </c>
    </row>
    <row r="8" spans="1:3">
      <c r="A8" s="76">
        <v>1</v>
      </c>
      <c r="B8" s="378" t="s">
        <v>51</v>
      </c>
    </row>
    <row r="9" spans="1:3">
      <c r="A9" s="377">
        <v>2</v>
      </c>
      <c r="B9" s="378" t="s">
        <v>233</v>
      </c>
    </row>
    <row r="10" spans="1:3">
      <c r="A10" s="76">
        <v>3</v>
      </c>
      <c r="B10" s="378" t="s">
        <v>157</v>
      </c>
    </row>
    <row r="11" spans="1:3">
      <c r="A11" s="377">
        <v>4</v>
      </c>
      <c r="B11" s="378" t="s">
        <v>165</v>
      </c>
    </row>
    <row r="12" spans="1:3">
      <c r="A12" s="76">
        <v>5</v>
      </c>
      <c r="B12" s="378" t="s">
        <v>221</v>
      </c>
    </row>
    <row r="13" spans="1:3">
      <c r="A13" s="377">
        <v>6</v>
      </c>
      <c r="B13" s="378" t="s">
        <v>222</v>
      </c>
    </row>
    <row r="14" spans="1:3">
      <c r="A14" s="76">
        <v>7</v>
      </c>
      <c r="B14" s="378" t="s">
        <v>223</v>
      </c>
    </row>
    <row r="15" spans="1:3">
      <c r="A15" s="377">
        <v>8</v>
      </c>
      <c r="B15" s="378" t="s">
        <v>234</v>
      </c>
    </row>
    <row r="16" spans="1:3">
      <c r="A16" s="76">
        <v>9</v>
      </c>
      <c r="B16" s="378" t="s">
        <v>235</v>
      </c>
    </row>
    <row r="17" spans="1:2">
      <c r="A17" s="377">
        <v>10</v>
      </c>
      <c r="B17" s="378" t="s">
        <v>29</v>
      </c>
    </row>
    <row r="18" spans="1:2">
      <c r="A18" s="76">
        <v>11</v>
      </c>
      <c r="B18" s="378" t="s">
        <v>166</v>
      </c>
    </row>
    <row r="19" spans="1:2">
      <c r="A19" s="76">
        <v>12</v>
      </c>
      <c r="B19" s="378" t="s">
        <v>224</v>
      </c>
    </row>
    <row r="20" spans="1:2">
      <c r="A20" s="377">
        <f>+A19+1</f>
        <v>13</v>
      </c>
      <c r="B20" s="378" t="s">
        <v>56</v>
      </c>
    </row>
    <row r="21" spans="1:2">
      <c r="A21" s="377">
        <f t="shared" ref="A21:A29" si="0">+A20+1</f>
        <v>14</v>
      </c>
      <c r="B21" s="378" t="s">
        <v>54</v>
      </c>
    </row>
    <row r="22" spans="1:2">
      <c r="A22" s="377">
        <f t="shared" si="0"/>
        <v>15</v>
      </c>
      <c r="B22" s="378" t="s">
        <v>55</v>
      </c>
    </row>
    <row r="23" spans="1:2">
      <c r="A23" s="377">
        <f t="shared" si="0"/>
        <v>16</v>
      </c>
      <c r="B23" s="378" t="s">
        <v>225</v>
      </c>
    </row>
    <row r="24" spans="1:2">
      <c r="A24" s="377">
        <f t="shared" si="0"/>
        <v>17</v>
      </c>
      <c r="B24" s="378" t="s">
        <v>433</v>
      </c>
    </row>
    <row r="25" spans="1:2">
      <c r="A25" s="377">
        <f t="shared" si="0"/>
        <v>18</v>
      </c>
      <c r="B25" s="378" t="s">
        <v>254</v>
      </c>
    </row>
    <row r="26" spans="1:2">
      <c r="A26" s="377">
        <f t="shared" si="0"/>
        <v>19</v>
      </c>
      <c r="B26" s="378" t="s">
        <v>185</v>
      </c>
    </row>
    <row r="27" spans="1:2">
      <c r="A27" s="377">
        <f t="shared" si="0"/>
        <v>20</v>
      </c>
      <c r="B27" s="378" t="s">
        <v>193</v>
      </c>
    </row>
    <row r="28" spans="1:2">
      <c r="A28" s="377">
        <f t="shared" si="0"/>
        <v>21</v>
      </c>
      <c r="B28" s="378" t="s">
        <v>194</v>
      </c>
    </row>
    <row r="29" spans="1:2">
      <c r="A29" s="377">
        <f t="shared" si="0"/>
        <v>22</v>
      </c>
      <c r="B29" s="378" t="s">
        <v>195</v>
      </c>
    </row>
    <row r="30" spans="1:2">
      <c r="A30" s="377">
        <f t="shared" ref="A30" si="1">+A29+1</f>
        <v>23</v>
      </c>
      <c r="B30" s="378" t="s">
        <v>196</v>
      </c>
    </row>
    <row r="31" spans="1:2">
      <c r="A31" s="76">
        <v>24</v>
      </c>
      <c r="B31" s="378" t="s">
        <v>544</v>
      </c>
    </row>
    <row r="32" spans="1:2">
      <c r="A32" s="377">
        <v>25</v>
      </c>
      <c r="B32" s="378" t="s">
        <v>457</v>
      </c>
    </row>
    <row r="33"/>
    <row r="34" hidden="1"/>
    <row r="35" hidden="1"/>
    <row r="36" hidden="1"/>
    <row r="37" hidden="1"/>
    <row r="38" hidden="1"/>
    <row r="39" hidden="1"/>
    <row r="40" hidden="1"/>
    <row r="41" hidden="1"/>
    <row r="42" hidden="1"/>
    <row r="43" hidden="1"/>
    <row r="44" hidden="1"/>
  </sheetData>
  <phoneticPr fontId="26" type="noConversion"/>
  <hyperlinks>
    <hyperlink ref="B8" location="Cover!A1" display="Cover"/>
    <hyperlink ref="B11" location="'Parties Overview'!A1" display="Parties Overview"/>
    <hyperlink ref="B12" location="'Transaction Events I'!A1" display="Transaction Events I"/>
    <hyperlink ref="B16" location="'Notes II'!A1" display="Information regarding the Notes II"/>
    <hyperlink ref="B18" location="'Swaps &amp; Waterfall'!A1" display="Swap Fixing / Waterfall"/>
    <hyperlink ref="B21" location="'Run Out Schedule'!A1" display="Run Out Schedule I"/>
    <hyperlink ref="B23" location="'Outstanding Contracts'!A1" display="Outstanding Contracts"/>
    <hyperlink ref="B24" location="Delinquencies!A1" display="Delinquencies"/>
    <hyperlink ref="B10" location="'Reporting Details'!A1" display="Reporting Details"/>
    <hyperlink ref="B13" location="'Transaction Events II'!A1" display="Transaction Events II"/>
    <hyperlink ref="B14" location="'Transaction Events III'!A1" display="Transaction Events III"/>
    <hyperlink ref="B22" location="'Run Out Schedule II'!A1" display="Run Out Schedule II"/>
    <hyperlink ref="B9" location="Contents!A1" display="Contents"/>
    <hyperlink ref="B15" location="'Notes I'!A1" display="Information regarding the Notes I"/>
    <hyperlink ref="B17" location="'Credit Enhancement'!A1" display="Credit Enhancement"/>
    <hyperlink ref="B19" location="'Amortisation Profile I'!A1" display="Amortisation Profile I"/>
    <hyperlink ref="B20" location="'Amortisation Profile II'!A1" display="Amortisation Profile II"/>
    <hyperlink ref="B26" location="'Pool Data I'!A1" display="Pool Data I"/>
    <hyperlink ref="B27" location="'Pool Data II'!A1" display="Pool Data II"/>
    <hyperlink ref="B28" location="'Pool Data III'!A1" display="Pool Data III"/>
    <hyperlink ref="B29" location="'Pool Data IV'!A1" display="Pool Data IV"/>
    <hyperlink ref="B3" location="Index!A1" display="Index"/>
    <hyperlink ref="B25" location="Recoveries!A1" display="Recoveries"/>
    <hyperlink ref="B30" location="'Pool Data V'!A1" display="Pool Data V"/>
    <hyperlink ref="B32" location="Glossary!A1" display="Glossary"/>
    <hyperlink ref="B31" location="'Pool Data VI'!A1" display="Pool Data VI"/>
  </hyperlinks>
  <printOptions horizontalCentered="1" verticalCentered="1"/>
  <pageMargins left="0.74803149606299213" right="0.78740157480314965" top="0.47244094488188981" bottom="0.51181102362204722" header="0.51181102362204722" footer="0.51181102362204722"/>
  <pageSetup paperSize="9" orientation="landscape" r:id="rId1"/>
  <headerFooter alignWithMargins="0">
    <oddFooter>&amp;C2&amp;R&amp;K00-046Banco Volkswagen S.A.
Rua Volkswagen, nº 291
São Paulo - SP - Brazil
Tel: +55 11 5582 5591
TESOU-ABS@vwfs.com</oddFooter>
  </headerFooter>
  <cellWatches>
    <cellWatch r="B24"/>
  </cellWatche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499984740745262"/>
    <pageSetUpPr fitToPage="1"/>
  </sheetPr>
  <dimension ref="A1:F58"/>
  <sheetViews>
    <sheetView showGridLines="0" zoomScale="85" zoomScaleNormal="85" zoomScaleSheetLayoutView="100" workbookViewId="0">
      <selection activeCell="B10" sqref="B10"/>
    </sheetView>
  </sheetViews>
  <sheetFormatPr defaultColWidth="0" defaultRowHeight="12" zeroHeight="1"/>
  <cols>
    <col min="1" max="1" width="37.28515625" style="1" bestFit="1" customWidth="1"/>
    <col min="2" max="2" width="20.28515625" style="335" customWidth="1"/>
    <col min="3" max="3" width="25.5703125" style="336" bestFit="1" customWidth="1"/>
    <col min="4" max="4" width="20.28515625" style="336" customWidth="1"/>
    <col min="5" max="5" width="29.85546875" style="336" customWidth="1"/>
    <col min="6" max="6" width="0.85546875" style="1" customWidth="1"/>
    <col min="7" max="16384" width="20.28515625" style="1" hidden="1"/>
  </cols>
  <sheetData>
    <row r="1" spans="1:5" s="47" customFormat="1" ht="14.25" customHeight="1">
      <c r="A1" s="138"/>
      <c r="B1" s="139"/>
      <c r="C1" s="139"/>
      <c r="D1" s="138"/>
      <c r="E1" s="142" t="str">
        <f>CONCATENATE("Publication Date: ",TEXT(Input!C7,"DD.MM.AAAA"))</f>
        <v>Publication Date: 05.03.2020</v>
      </c>
    </row>
    <row r="2" spans="1:5" s="47" customFormat="1" ht="14.25" customHeight="1">
      <c r="A2" s="131"/>
      <c r="B2" s="132"/>
      <c r="C2" s="132"/>
      <c r="D2" s="131"/>
      <c r="E2" s="134" t="str">
        <f>CONCATENATE("Period: ",TEXT(Input!$C$5,"MM.AAAA")," / Period No. ",Input!$C$6)</f>
        <v>Period: 02.2020 / Period No. 9</v>
      </c>
    </row>
    <row r="3" spans="1:5" s="47" customFormat="1" ht="14.25" customHeight="1">
      <c r="A3" s="140"/>
      <c r="B3" s="141"/>
      <c r="C3" s="141"/>
      <c r="D3" s="140"/>
      <c r="E3" s="381" t="s">
        <v>236</v>
      </c>
    </row>
    <row r="4" spans="1:5" s="47" customFormat="1" ht="12" customHeight="1">
      <c r="A4" s="1"/>
      <c r="B4" s="2"/>
      <c r="C4" s="1"/>
      <c r="D4" s="1"/>
      <c r="E4" s="1"/>
    </row>
    <row r="5" spans="1:5" s="47" customFormat="1" ht="15.75" customHeight="1">
      <c r="A5" s="2" t="s">
        <v>157</v>
      </c>
      <c r="B5" s="2"/>
      <c r="C5" s="1"/>
      <c r="D5" s="1"/>
      <c r="E5" s="1"/>
    </row>
    <row r="6" spans="1:5" s="64" customFormat="1" ht="15.75">
      <c r="A6" s="16"/>
      <c r="B6" s="13"/>
      <c r="C6" s="16"/>
      <c r="D6" s="16"/>
      <c r="E6" s="16"/>
    </row>
    <row r="7" spans="1:5" s="144" customFormat="1" ht="15" customHeight="1">
      <c r="A7" s="321" t="s">
        <v>137</v>
      </c>
      <c r="B7" s="322"/>
      <c r="C7" s="322"/>
      <c r="D7" s="322"/>
      <c r="E7" s="322"/>
    </row>
    <row r="8" spans="1:5" s="144" customFormat="1" ht="15">
      <c r="A8" s="145" t="s">
        <v>162</v>
      </c>
      <c r="B8" s="328">
        <f>Input!D47</f>
        <v>43656</v>
      </c>
      <c r="C8" s="145" t="s">
        <v>244</v>
      </c>
      <c r="D8" s="777">
        <f>+Input!C7</f>
        <v>43895</v>
      </c>
      <c r="E8" s="778"/>
    </row>
    <row r="9" spans="1:5" s="144" customFormat="1" ht="15">
      <c r="A9" s="155" t="s">
        <v>163</v>
      </c>
      <c r="B9" s="330" t="s">
        <v>656</v>
      </c>
      <c r="C9" s="146" t="s">
        <v>6</v>
      </c>
      <c r="D9" s="781" t="str">
        <f>CONCATENATE(TEXT(Input!C8,"DD/MM/AAAA")," (4th of each month)")</f>
        <v>06/02/2020 (4th of each month)</v>
      </c>
      <c r="E9" s="782"/>
    </row>
    <row r="10" spans="1:5" s="144" customFormat="1" ht="15">
      <c r="A10" s="145" t="s">
        <v>60</v>
      </c>
      <c r="B10" s="328" t="str">
        <f>Input!D37</f>
        <v>July 2024</v>
      </c>
      <c r="C10" s="145" t="s">
        <v>246</v>
      </c>
      <c r="D10" s="777" t="str">
        <f>CONCATENATE(TEXT(Input!C5,"DD/MM/AAAA")," (last day of each month)")</f>
        <v>29/02/2020 (last day of each month)</v>
      </c>
      <c r="E10" s="778"/>
    </row>
    <row r="11" spans="1:5" s="144" customFormat="1" ht="15" customHeight="1">
      <c r="A11" s="146" t="s">
        <v>161</v>
      </c>
      <c r="B11" s="329">
        <f>Input!D48</f>
        <v>43648</v>
      </c>
      <c r="C11" s="146" t="s">
        <v>141</v>
      </c>
      <c r="D11" s="779" t="str">
        <f>CONCATENATE("from ",TEXT(DATE(YEAR(Input!C5),MONTH(Input!C5),DAY(1)),"DD/MM/AAAA")," until ",TEXT(EOMONTH(DATE(YEAR(Input!C5),MONTH(Input!C5),DAY(1)),0),"DD/MM/AAAA"))</f>
        <v>from 01/02/2020 until 29/02/2020</v>
      </c>
      <c r="E11" s="780"/>
    </row>
    <row r="12" spans="1:5" s="144" customFormat="1" ht="15" customHeight="1">
      <c r="A12" s="145" t="s">
        <v>7</v>
      </c>
      <c r="B12" s="331">
        <f>Input!C6</f>
        <v>9</v>
      </c>
      <c r="C12" s="145" t="s">
        <v>9</v>
      </c>
      <c r="D12" s="775" t="str">
        <f>CONCATENATE("from ",TEXT(Input!C10,"DD/MM/AAAA")," until ",TEXT(Input!C11,"DD/MM/AAAA"))</f>
        <v>from 07/01/2020 until 06/02/2020</v>
      </c>
      <c r="E12" s="776"/>
    </row>
    <row r="13" spans="1:5" s="144" customFormat="1" ht="15" customHeight="1">
      <c r="A13" s="159" t="s">
        <v>138</v>
      </c>
      <c r="B13" s="327" t="str">
        <f>Input!D72</f>
        <v>monthly</v>
      </c>
      <c r="C13" s="146" t="s">
        <v>10</v>
      </c>
      <c r="D13" s="779" t="str">
        <f>D12</f>
        <v>from 07/01/2020 until 06/02/2020</v>
      </c>
      <c r="E13" s="780"/>
    </row>
    <row r="14" spans="1:5" s="144" customFormat="1" ht="15" customHeight="1">
      <c r="A14" s="160" t="s">
        <v>64</v>
      </c>
      <c r="B14" s="460">
        <f>Input!C9</f>
        <v>43895</v>
      </c>
      <c r="C14" s="145" t="s">
        <v>164</v>
      </c>
      <c r="D14" s="775">
        <f>NETWORKDAYS(Input!C10,Input!C11,Feriado!A2:A937)</f>
        <v>23</v>
      </c>
      <c r="E14" s="776"/>
    </row>
    <row r="15" spans="1:5" s="144" customFormat="1" ht="15" customHeight="1">
      <c r="A15" s="27"/>
      <c r="B15" s="14"/>
      <c r="C15" s="25"/>
      <c r="D15" s="26"/>
      <c r="E15" s="25"/>
    </row>
    <row r="16" spans="1:5" s="10" customFormat="1" ht="63">
      <c r="A16" s="152" t="s">
        <v>199</v>
      </c>
      <c r="B16" s="149" t="s">
        <v>41</v>
      </c>
      <c r="C16" s="153" t="s">
        <v>169</v>
      </c>
      <c r="D16" s="153" t="s">
        <v>276</v>
      </c>
      <c r="E16" s="149" t="s">
        <v>277</v>
      </c>
    </row>
    <row r="17" spans="1:5" s="10" customFormat="1" ht="15" customHeight="1">
      <c r="A17" s="154" t="s">
        <v>144</v>
      </c>
      <c r="B17" s="147">
        <v>36523</v>
      </c>
      <c r="C17" s="150">
        <f>+Tabelle4[[#This Row],[Number of Contracts]]/$B$19</f>
        <v>0.76948845440755098</v>
      </c>
      <c r="D17" s="148">
        <v>855697159.75999999</v>
      </c>
      <c r="E17" s="151">
        <f>+Tabelle4[[#This Row],[Outstanding Discounted Principal Balance]]/$D$19</f>
        <v>0.78250981886534365</v>
      </c>
    </row>
    <row r="18" spans="1:5" s="10" customFormat="1" ht="15" customHeight="1">
      <c r="A18" s="154" t="s">
        <v>143</v>
      </c>
      <c r="B18" s="147">
        <v>10941</v>
      </c>
      <c r="C18" s="150">
        <f>+Tabelle4[[#This Row],[Number of Contracts]]/$B$19</f>
        <v>0.23051154559244902</v>
      </c>
      <c r="D18" s="148">
        <v>237831814.74000001</v>
      </c>
      <c r="E18" s="151">
        <f>+Tabelle4[[#This Row],[Outstanding Discounted Principal Balance]]/$D$19</f>
        <v>0.21749018113465635</v>
      </c>
    </row>
    <row r="19" spans="1:5" s="10" customFormat="1" ht="15" customHeight="1">
      <c r="A19" s="161" t="s">
        <v>42</v>
      </c>
      <c r="B19" s="354">
        <f>SUM(B17:B18)</f>
        <v>47464</v>
      </c>
      <c r="C19" s="163">
        <f>SUM(C17:C18)</f>
        <v>1</v>
      </c>
      <c r="D19" s="162">
        <f>SUM(D17:D18)</f>
        <v>1093528974.5</v>
      </c>
      <c r="E19" s="163">
        <f>+Tabelle4[[#This Row],[Outstanding Discounted Principal Balance]]/$D$19</f>
        <v>1</v>
      </c>
    </row>
    <row r="20" spans="1:5" s="10" customFormat="1" ht="15.75">
      <c r="A20" s="27"/>
      <c r="C20" s="25"/>
      <c r="D20" s="26"/>
      <c r="E20" s="24"/>
    </row>
    <row r="21" spans="1:5" ht="63">
      <c r="A21" s="333" t="s">
        <v>456</v>
      </c>
      <c r="B21" s="332" t="s">
        <v>41</v>
      </c>
      <c r="C21" s="332" t="s">
        <v>169</v>
      </c>
      <c r="D21" s="153" t="s">
        <v>276</v>
      </c>
      <c r="E21" s="149" t="s">
        <v>277</v>
      </c>
    </row>
    <row r="22" spans="1:5" ht="15">
      <c r="A22" s="154" t="s">
        <v>278</v>
      </c>
      <c r="B22" s="147">
        <v>42413</v>
      </c>
      <c r="C22" s="151">
        <f>+Tabelle41[[#This Row],[Number of Contracts]]/$B$24</f>
        <v>0.89358250463509181</v>
      </c>
      <c r="D22" s="148">
        <v>961901806.45000005</v>
      </c>
      <c r="E22" s="151">
        <f>+Tabelle41[[#This Row],[Outstanding Discounted Principal Balance]]/$D$24</f>
        <v>0.87963083638439066</v>
      </c>
    </row>
    <row r="23" spans="1:5" ht="15">
      <c r="A23" s="154" t="s">
        <v>279</v>
      </c>
      <c r="B23" s="147">
        <v>5051</v>
      </c>
      <c r="C23" s="151">
        <f>+Tabelle41[[#This Row],[Number of Contracts]]/$B$24</f>
        <v>0.10641749536490815</v>
      </c>
      <c r="D23" s="148">
        <v>131627168.05</v>
      </c>
      <c r="E23" s="151">
        <f>+Tabelle41[[#This Row],[Outstanding Discounted Principal Balance]]/$D$24</f>
        <v>0.12036916361560934</v>
      </c>
    </row>
    <row r="24" spans="1:5" ht="15.75">
      <c r="A24" s="161" t="s">
        <v>42</v>
      </c>
      <c r="B24" s="354">
        <f t="shared" ref="B24:E24" si="0">SUM(B22:B23)</f>
        <v>47464</v>
      </c>
      <c r="C24" s="163">
        <f t="shared" si="0"/>
        <v>1</v>
      </c>
      <c r="D24" s="162">
        <f t="shared" si="0"/>
        <v>1093528974.5</v>
      </c>
      <c r="E24" s="163">
        <f t="shared" si="0"/>
        <v>1</v>
      </c>
    </row>
    <row r="25" spans="1:5">
      <c r="A25" s="47"/>
      <c r="B25" s="334"/>
      <c r="C25" s="81"/>
      <c r="D25" s="81"/>
      <c r="E25" s="81"/>
    </row>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sheetData>
  <mergeCells count="7">
    <mergeCell ref="D14:E14"/>
    <mergeCell ref="D8:E8"/>
    <mergeCell ref="D10:E10"/>
    <mergeCell ref="D11:E11"/>
    <mergeCell ref="D13:E13"/>
    <mergeCell ref="D12:E12"/>
    <mergeCell ref="D9:E9"/>
  </mergeCells>
  <phoneticPr fontId="26" type="noConversion"/>
  <hyperlinks>
    <hyperlink ref="E3" location="Index!A1" display="Index"/>
  </hyperlinks>
  <printOptions horizontalCentered="1" verticalCentered="1"/>
  <pageMargins left="0.74803149606299213" right="0.78740157480314965" top="0.47244094488188981" bottom="0.51181102362204722" header="0.51181102362204722" footer="0.51181102362204722"/>
  <pageSetup paperSize="9" scale="99" orientation="landscape" r:id="rId1"/>
  <headerFooter alignWithMargins="0">
    <oddFooter>&amp;C3&amp;R&amp;K00-045Banco Volkswagen S.A.
Rua Volkswagen, nº 291
São Paulo - SP - Brazil
Tel: +55 11 5582 5591
TESOU-ABS@vwfs.com</oddFooter>
  </headerFooter>
  <ignoredErrors>
    <ignoredError sqref="B19:D19 B17:B18" calculatedColumn="1"/>
  </ignoredErrors>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499984740745262"/>
    <pageSetUpPr fitToPage="1"/>
  </sheetPr>
  <dimension ref="A1:J93"/>
  <sheetViews>
    <sheetView zoomScale="85" zoomScaleNormal="85" zoomScaleSheetLayoutView="70" workbookViewId="0">
      <selection activeCell="E39" sqref="E39"/>
    </sheetView>
  </sheetViews>
  <sheetFormatPr defaultColWidth="0" defaultRowHeight="12.75" zeroHeight="1"/>
  <cols>
    <col min="1" max="1" width="6" style="196" customWidth="1"/>
    <col min="2" max="2" width="28.42578125" style="17" customWidth="1"/>
    <col min="3" max="3" width="53.7109375" style="16" bestFit="1" customWidth="1"/>
    <col min="4" max="4" width="24.5703125" style="164" bestFit="1" customWidth="1"/>
    <col min="5" max="5" width="60.140625" style="198" bestFit="1" customWidth="1"/>
    <col min="6" max="6" width="0.42578125" style="1" customWidth="1"/>
    <col min="7" max="8" width="11.42578125" style="1" hidden="1" customWidth="1"/>
    <col min="9" max="9" width="21.7109375" style="1" hidden="1" customWidth="1"/>
    <col min="10" max="10" width="14.7109375" style="1" hidden="1" customWidth="1"/>
    <col min="11" max="16384" width="11.42578125" style="1" hidden="1"/>
  </cols>
  <sheetData>
    <row r="1" spans="1:5" ht="14.25" customHeight="1">
      <c r="A1" s="167"/>
      <c r="B1" s="139"/>
      <c r="C1" s="139"/>
      <c r="D1" s="167"/>
      <c r="E1" s="142" t="str">
        <f>CONCATENATE("Publication Date: ",TEXT(Input!C7,"DD.MM.AAAA"))</f>
        <v>Publication Date: 05.03.2020</v>
      </c>
    </row>
    <row r="2" spans="1:5" ht="14.25" customHeight="1">
      <c r="A2" s="168"/>
      <c r="B2" s="132"/>
      <c r="C2" s="132"/>
      <c r="D2" s="168"/>
      <c r="E2" s="134" t="str">
        <f>CONCATENATE("Period: ",TEXT(Input!$C$5,"MM.AAAA")," / Period No. ",Input!$C$6)</f>
        <v>Period: 02.2020 / Period No. 9</v>
      </c>
    </row>
    <row r="3" spans="1:5" ht="14.25" customHeight="1">
      <c r="A3" s="168"/>
      <c r="B3" s="132"/>
      <c r="C3" s="132"/>
      <c r="D3" s="168"/>
      <c r="E3" s="382" t="s">
        <v>236</v>
      </c>
    </row>
    <row r="4" spans="1:5" ht="12" customHeight="1">
      <c r="A4" s="16"/>
      <c r="B4" s="13"/>
      <c r="E4" s="3"/>
    </row>
    <row r="5" spans="1:5" ht="15.75" customHeight="1">
      <c r="A5" s="130" t="s">
        <v>165</v>
      </c>
      <c r="B5" s="130"/>
      <c r="E5" s="36"/>
    </row>
    <row r="6" spans="1:5" ht="7.5" customHeight="1">
      <c r="A6" s="16"/>
      <c r="B6" s="18"/>
      <c r="C6" s="18"/>
      <c r="D6" s="18"/>
      <c r="E6" s="18"/>
    </row>
    <row r="7" spans="1:5" s="10" customFormat="1" ht="12.75" customHeight="1">
      <c r="A7" s="14"/>
      <c r="B7" s="28"/>
      <c r="C7" s="29"/>
      <c r="D7" s="14"/>
      <c r="E7" s="14"/>
    </row>
    <row r="8" spans="1:5" s="10" customFormat="1" ht="15.75" customHeight="1">
      <c r="A8" s="181" t="s">
        <v>284</v>
      </c>
      <c r="B8" s="181"/>
      <c r="C8" s="785" t="s">
        <v>280</v>
      </c>
      <c r="D8" s="783" t="s">
        <v>273</v>
      </c>
      <c r="E8" s="185" t="s">
        <v>285</v>
      </c>
    </row>
    <row r="9" spans="1:5" s="10" customFormat="1" ht="15.75">
      <c r="A9" s="184"/>
      <c r="B9" s="174"/>
      <c r="C9" s="785"/>
      <c r="D9" s="784"/>
      <c r="E9" s="174" t="s">
        <v>286</v>
      </c>
    </row>
    <row r="10" spans="1:5" s="10" customFormat="1" ht="15.75">
      <c r="A10" s="184"/>
      <c r="B10" s="174"/>
      <c r="C10" s="174" t="s">
        <v>281</v>
      </c>
      <c r="D10" s="194"/>
      <c r="E10" s="174" t="s">
        <v>287</v>
      </c>
    </row>
    <row r="11" spans="1:5" s="10" customFormat="1" ht="15.75">
      <c r="A11" s="184"/>
      <c r="B11" s="174"/>
      <c r="C11" s="174" t="s">
        <v>282</v>
      </c>
      <c r="D11" s="194"/>
      <c r="E11" s="174" t="s">
        <v>288</v>
      </c>
    </row>
    <row r="12" spans="1:5" s="10" customFormat="1" ht="15.75">
      <c r="A12" s="184"/>
      <c r="B12" s="174"/>
      <c r="C12" s="174" t="s">
        <v>580</v>
      </c>
      <c r="D12" s="194"/>
      <c r="E12" s="174" t="s">
        <v>289</v>
      </c>
    </row>
    <row r="13" spans="1:5" s="10" customFormat="1" ht="15.75">
      <c r="A13" s="184"/>
      <c r="B13" s="174"/>
      <c r="C13" s="174" t="s">
        <v>581</v>
      </c>
      <c r="D13" s="194"/>
      <c r="E13" s="568" t="s">
        <v>444</v>
      </c>
    </row>
    <row r="14" spans="1:5" s="10" customFormat="1" ht="15.75">
      <c r="A14" s="184"/>
      <c r="B14" s="174"/>
      <c r="C14" s="568" t="s">
        <v>582</v>
      </c>
      <c r="D14" s="194"/>
      <c r="E14" s="187"/>
    </row>
    <row r="15" spans="1:5" s="10" customFormat="1" ht="15.75">
      <c r="A15" s="184"/>
      <c r="B15" s="174"/>
      <c r="C15" s="174"/>
      <c r="D15" s="194"/>
      <c r="E15" s="187"/>
    </row>
    <row r="16" spans="1:5" s="10" customFormat="1" ht="15.75">
      <c r="A16" s="189" t="s">
        <v>290</v>
      </c>
      <c r="B16" s="14"/>
      <c r="C16" s="477" t="s">
        <v>291</v>
      </c>
      <c r="D16" s="200" t="s">
        <v>292</v>
      </c>
      <c r="E16" s="466" t="s">
        <v>272</v>
      </c>
    </row>
    <row r="17" spans="1:6" s="10" customFormat="1" ht="15.75">
      <c r="A17" s="189"/>
      <c r="B17" s="14"/>
      <c r="C17" s="470" t="s">
        <v>281</v>
      </c>
      <c r="D17" s="201"/>
      <c r="E17" s="467" t="s">
        <v>293</v>
      </c>
    </row>
    <row r="18" spans="1:6" s="10" customFormat="1" ht="15.75">
      <c r="A18" s="189"/>
      <c r="B18" s="14"/>
      <c r="C18" s="470" t="s">
        <v>583</v>
      </c>
      <c r="D18" s="202"/>
      <c r="E18" s="467" t="s">
        <v>294</v>
      </c>
    </row>
    <row r="19" spans="1:6" s="10" customFormat="1" ht="15.75">
      <c r="A19" s="189"/>
      <c r="B19" s="14"/>
      <c r="C19" s="470" t="s">
        <v>580</v>
      </c>
      <c r="D19" s="202"/>
      <c r="E19" s="467" t="s">
        <v>295</v>
      </c>
    </row>
    <row r="20" spans="1:6" s="10" customFormat="1" ht="15.75">
      <c r="A20" s="189"/>
      <c r="B20" s="14"/>
      <c r="C20" s="470" t="s">
        <v>584</v>
      </c>
      <c r="D20" s="202"/>
      <c r="E20" s="467" t="s">
        <v>283</v>
      </c>
    </row>
    <row r="21" spans="1:6" s="10" customFormat="1" ht="15.75">
      <c r="A21" s="189"/>
      <c r="B21" s="14"/>
      <c r="C21" s="569" t="s">
        <v>585</v>
      </c>
      <c r="D21" s="202"/>
      <c r="E21" s="471" t="s">
        <v>617</v>
      </c>
    </row>
    <row r="22" spans="1:6" s="10" customFormat="1" ht="15.75">
      <c r="A22" s="189"/>
      <c r="B22" s="14"/>
      <c r="C22" s="30"/>
      <c r="D22" s="202"/>
      <c r="E22" s="569" t="s">
        <v>642</v>
      </c>
    </row>
    <row r="23" spans="1:6" s="10" customFormat="1" ht="15.75">
      <c r="A23" s="181" t="s">
        <v>11</v>
      </c>
      <c r="B23" s="182"/>
      <c r="C23" s="185" t="s">
        <v>640</v>
      </c>
      <c r="D23" s="183" t="s">
        <v>301</v>
      </c>
      <c r="E23" s="443" t="s">
        <v>296</v>
      </c>
      <c r="F23" s="469"/>
    </row>
    <row r="24" spans="1:6" s="10" customFormat="1" ht="15.75">
      <c r="A24" s="194"/>
      <c r="B24" s="177"/>
      <c r="C24" s="186" t="s">
        <v>618</v>
      </c>
      <c r="D24" s="175"/>
      <c r="E24" s="444" t="s">
        <v>297</v>
      </c>
      <c r="F24" s="469"/>
    </row>
    <row r="25" spans="1:6" s="10" customFormat="1" ht="15.75">
      <c r="A25" s="194"/>
      <c r="B25" s="177"/>
      <c r="C25" s="186" t="s">
        <v>619</v>
      </c>
      <c r="D25" s="175"/>
      <c r="E25" s="444" t="s">
        <v>298</v>
      </c>
      <c r="F25" s="469"/>
    </row>
    <row r="26" spans="1:6" s="10" customFormat="1" ht="15.75">
      <c r="A26" s="194"/>
      <c r="B26" s="173"/>
      <c r="C26" s="186" t="s">
        <v>302</v>
      </c>
      <c r="D26" s="175"/>
      <c r="E26" s="444" t="s">
        <v>299</v>
      </c>
      <c r="F26" s="469"/>
    </row>
    <row r="27" spans="1:6" s="10" customFormat="1" ht="15.75" customHeight="1">
      <c r="A27" s="194"/>
      <c r="B27" s="173"/>
      <c r="C27" s="186" t="s">
        <v>283</v>
      </c>
      <c r="D27" s="175"/>
      <c r="E27" s="444" t="s">
        <v>300</v>
      </c>
      <c r="F27" s="469"/>
    </row>
    <row r="28" spans="1:6" s="10" customFormat="1" ht="15.75">
      <c r="A28" s="194"/>
      <c r="B28" s="173"/>
      <c r="C28" s="186" t="s">
        <v>621</v>
      </c>
      <c r="D28" s="175"/>
      <c r="E28" s="572" t="s">
        <v>445</v>
      </c>
      <c r="F28" s="469"/>
    </row>
    <row r="29" spans="1:6" s="10" customFormat="1" ht="15.75">
      <c r="A29" s="194"/>
      <c r="B29" s="173"/>
      <c r="C29" s="572" t="s">
        <v>620</v>
      </c>
      <c r="D29" s="194"/>
      <c r="E29" s="391"/>
    </row>
    <row r="30" spans="1:6" s="10" customFormat="1" ht="15.75">
      <c r="A30" s="194"/>
      <c r="B30" s="174"/>
      <c r="C30" s="186"/>
      <c r="D30" s="175"/>
      <c r="E30" s="390"/>
    </row>
    <row r="31" spans="1:6" s="10" customFormat="1" ht="15.75">
      <c r="A31" s="189" t="s">
        <v>303</v>
      </c>
      <c r="B31" s="14"/>
      <c r="C31" s="477" t="s">
        <v>304</v>
      </c>
      <c r="D31" s="178"/>
      <c r="E31" s="203"/>
    </row>
    <row r="32" spans="1:6" s="10" customFormat="1" ht="15.75">
      <c r="A32" s="189"/>
      <c r="B32" s="14"/>
      <c r="C32" s="478" t="s">
        <v>305</v>
      </c>
      <c r="D32" s="178"/>
      <c r="E32" s="203"/>
    </row>
    <row r="33" spans="1:7" s="10" customFormat="1" ht="15.75">
      <c r="A33" s="206"/>
      <c r="B33" s="14"/>
      <c r="C33" s="478" t="s">
        <v>306</v>
      </c>
      <c r="E33" s="204"/>
      <c r="G33" s="12"/>
    </row>
    <row r="34" spans="1:7" s="10" customFormat="1" ht="15.75">
      <c r="A34" s="207"/>
      <c r="B34" s="14"/>
      <c r="C34" s="472" t="s">
        <v>283</v>
      </c>
      <c r="D34" s="14"/>
      <c r="E34" s="204"/>
      <c r="G34" s="12"/>
    </row>
    <row r="35" spans="1:7" s="10" customFormat="1" ht="15.75">
      <c r="A35" s="207"/>
      <c r="B35" s="14"/>
      <c r="C35" s="10" t="s">
        <v>586</v>
      </c>
      <c r="D35" s="14"/>
      <c r="E35" s="190"/>
      <c r="G35" s="12"/>
    </row>
    <row r="36" spans="1:7" s="10" customFormat="1" ht="15.75">
      <c r="A36" s="207"/>
      <c r="B36" s="14"/>
      <c r="C36" s="571" t="s">
        <v>622</v>
      </c>
      <c r="D36" s="14"/>
      <c r="E36" s="190"/>
      <c r="G36" s="12"/>
    </row>
    <row r="37" spans="1:7" s="10" customFormat="1" ht="15.75">
      <c r="A37" s="189"/>
      <c r="B37" s="14"/>
      <c r="C37" s="571" t="s">
        <v>587</v>
      </c>
      <c r="D37" s="14"/>
      <c r="E37" s="204"/>
      <c r="G37" s="12"/>
    </row>
    <row r="38" spans="1:7" s="10" customFormat="1" ht="15.75">
      <c r="A38" s="202"/>
      <c r="B38" s="14"/>
      <c r="D38" s="14"/>
      <c r="E38" s="204"/>
      <c r="G38" s="12"/>
    </row>
    <row r="39" spans="1:7" s="10" customFormat="1" ht="15.75">
      <c r="A39" s="208"/>
      <c r="B39" s="192"/>
      <c r="C39" s="477" t="s">
        <v>588</v>
      </c>
      <c r="D39" s="192"/>
      <c r="E39" s="193"/>
    </row>
    <row r="40" spans="1:7" s="10" customFormat="1" ht="15.75">
      <c r="A40" s="188"/>
      <c r="B40" s="476"/>
      <c r="C40" s="478" t="s">
        <v>589</v>
      </c>
      <c r="D40" s="200"/>
      <c r="E40" s="474"/>
    </row>
    <row r="41" spans="1:7" s="10" customFormat="1" ht="15.75">
      <c r="A41" s="475"/>
      <c r="B41" s="28"/>
      <c r="C41" s="478" t="s">
        <v>590</v>
      </c>
      <c r="D41" s="201"/>
      <c r="E41" s="191"/>
    </row>
    <row r="42" spans="1:7" s="10" customFormat="1" ht="15.75">
      <c r="A42" s="475"/>
      <c r="B42" s="28"/>
      <c r="C42" s="479" t="s">
        <v>283</v>
      </c>
      <c r="D42" s="201"/>
      <c r="E42" s="191"/>
    </row>
    <row r="43" spans="1:7" s="10" customFormat="1" ht="15.75">
      <c r="A43" s="475"/>
      <c r="B43" s="28"/>
      <c r="C43" s="479" t="s">
        <v>591</v>
      </c>
      <c r="D43" s="201"/>
      <c r="E43" s="191"/>
    </row>
    <row r="44" spans="1:7" s="10" customFormat="1" ht="15.75">
      <c r="A44" s="475"/>
      <c r="B44" s="28"/>
      <c r="C44" s="570" t="s">
        <v>592</v>
      </c>
      <c r="D44" s="475"/>
      <c r="E44" s="191"/>
    </row>
    <row r="45" spans="1:7" s="10" customFormat="1" ht="15.75" hidden="1">
      <c r="A45" s="194"/>
      <c r="B45" s="173"/>
      <c r="C45" s="570" t="s">
        <v>593</v>
      </c>
      <c r="D45" s="194"/>
      <c r="E45" s="442"/>
    </row>
    <row r="46" spans="1:7" s="10" customFormat="1" ht="15.75" hidden="1">
      <c r="A46" s="194"/>
      <c r="B46" s="173"/>
      <c r="C46" s="176"/>
      <c r="D46" s="194"/>
      <c r="E46" s="187"/>
    </row>
    <row r="47" spans="1:7" s="10" customFormat="1" ht="15.75" hidden="1">
      <c r="A47" s="194"/>
      <c r="B47" s="174"/>
      <c r="C47" s="174"/>
      <c r="D47" s="194"/>
      <c r="E47" s="185"/>
    </row>
    <row r="48" spans="1:7" s="10" customFormat="1" ht="15" hidden="1">
      <c r="A48" s="194"/>
      <c r="B48" s="174"/>
      <c r="C48" s="174"/>
      <c r="D48" s="194"/>
      <c r="E48" s="186"/>
    </row>
    <row r="49" spans="1:5" s="10" customFormat="1" ht="15" hidden="1">
      <c r="A49" s="194"/>
      <c r="B49" s="174"/>
      <c r="C49" s="174"/>
      <c r="D49" s="194"/>
      <c r="E49" s="186"/>
    </row>
    <row r="50" spans="1:5" s="10" customFormat="1" ht="15" hidden="1">
      <c r="A50" s="194"/>
      <c r="B50" s="174"/>
      <c r="C50" s="174"/>
      <c r="D50" s="194"/>
      <c r="E50" s="186"/>
    </row>
    <row r="51" spans="1:5" s="10" customFormat="1" ht="15" hidden="1">
      <c r="A51" s="194"/>
      <c r="B51" s="174"/>
      <c r="C51" s="174"/>
      <c r="D51" s="194"/>
      <c r="E51" s="442"/>
    </row>
    <row r="52" spans="1:5" s="10" customFormat="1" ht="15.75" hidden="1">
      <c r="A52" s="194"/>
      <c r="B52" s="175"/>
      <c r="C52" s="174"/>
      <c r="D52" s="194"/>
      <c r="E52" s="186"/>
    </row>
    <row r="53" spans="1:5" s="10" customFormat="1" ht="15.75" hidden="1">
      <c r="A53" s="195"/>
      <c r="B53" s="179"/>
      <c r="C53" s="180"/>
      <c r="D53" s="194"/>
      <c r="E53" s="185"/>
    </row>
    <row r="54" spans="1:5" s="10" customFormat="1" ht="15" hidden="1">
      <c r="A54" s="195"/>
      <c r="B54" s="179"/>
      <c r="C54" s="180"/>
      <c r="D54" s="194"/>
      <c r="E54" s="186"/>
    </row>
    <row r="55" spans="1:5" s="10" customFormat="1" ht="15" hidden="1">
      <c r="A55" s="195"/>
      <c r="B55" s="179"/>
      <c r="C55" s="180"/>
      <c r="D55" s="194"/>
      <c r="E55" s="186"/>
    </row>
    <row r="56" spans="1:5" ht="15" hidden="1">
      <c r="A56" s="195"/>
      <c r="B56" s="179"/>
      <c r="C56" s="180"/>
      <c r="D56" s="194"/>
      <c r="E56" s="186"/>
    </row>
    <row r="57" spans="1:5" ht="15" hidden="1">
      <c r="A57" s="195"/>
      <c r="B57" s="179"/>
      <c r="C57" s="180"/>
      <c r="D57" s="194"/>
      <c r="E57" s="186"/>
    </row>
    <row r="58" spans="1:5" ht="15" hidden="1">
      <c r="A58" s="195"/>
      <c r="B58" s="179"/>
      <c r="C58" s="180"/>
      <c r="D58" s="199"/>
      <c r="E58" s="205"/>
    </row>
    <row r="59" spans="1:5" ht="12" hidden="1">
      <c r="D59" s="16"/>
      <c r="E59" s="197"/>
    </row>
    <row r="60" spans="1:5" ht="12" hidden="1">
      <c r="D60" s="16"/>
      <c r="E60" s="197"/>
    </row>
    <row r="61" spans="1:5" ht="12" hidden="1">
      <c r="D61" s="16"/>
      <c r="E61" s="197"/>
    </row>
    <row r="62" spans="1:5" ht="12" hidden="1">
      <c r="D62" s="16"/>
      <c r="E62" s="197"/>
    </row>
    <row r="63" spans="1:5" ht="12" hidden="1">
      <c r="D63" s="16"/>
      <c r="E63" s="197"/>
    </row>
    <row r="64" spans="1:5" ht="12" hidden="1">
      <c r="D64" s="16"/>
      <c r="E64" s="197"/>
    </row>
    <row r="65" spans="4:5" ht="12" hidden="1">
      <c r="D65" s="16"/>
      <c r="E65" s="197"/>
    </row>
    <row r="66" spans="4:5" ht="12" hidden="1">
      <c r="D66" s="16"/>
      <c r="E66" s="197"/>
    </row>
    <row r="67" spans="4:5" ht="12" hidden="1">
      <c r="D67" s="16"/>
      <c r="E67" s="197"/>
    </row>
    <row r="68" spans="4:5" ht="12" hidden="1">
      <c r="D68" s="16"/>
      <c r="E68" s="197"/>
    </row>
    <row r="69" spans="4:5" ht="12" hidden="1">
      <c r="D69" s="16"/>
      <c r="E69" s="197"/>
    </row>
    <row r="70" spans="4:5" ht="12" hidden="1">
      <c r="D70" s="16"/>
      <c r="E70" s="197"/>
    </row>
    <row r="71" spans="4:5" ht="12" hidden="1">
      <c r="D71" s="16"/>
      <c r="E71" s="197"/>
    </row>
    <row r="72" spans="4:5" hidden="1"/>
    <row r="73" spans="4:5" hidden="1"/>
    <row r="74" spans="4:5" hidden="1"/>
    <row r="75" spans="4:5" hidden="1"/>
    <row r="76" spans="4:5" hidden="1"/>
    <row r="77" spans="4:5" hidden="1"/>
    <row r="78" spans="4:5" hidden="1"/>
    <row r="79" spans="4:5" hidden="1"/>
    <row r="80" spans="4:5" hidden="1"/>
    <row r="81" hidden="1"/>
    <row r="82" hidden="1"/>
    <row r="83" hidden="1"/>
    <row r="84" hidden="1"/>
    <row r="85" hidden="1"/>
    <row r="86" hidden="1"/>
    <row r="87" hidden="1"/>
    <row r="88" hidden="1"/>
    <row r="89" hidden="1"/>
    <row r="90" hidden="1"/>
    <row r="91"/>
    <row r="92"/>
    <row r="93"/>
  </sheetData>
  <mergeCells count="2">
    <mergeCell ref="D8:D9"/>
    <mergeCell ref="C8:C9"/>
  </mergeCells>
  <phoneticPr fontId="26" type="noConversion"/>
  <hyperlinks>
    <hyperlink ref="E3" location="Index!A1" display="Index"/>
    <hyperlink ref="E13" r:id="rId1"/>
    <hyperlink ref="E28" r:id="rId2"/>
    <hyperlink ref="C37" r:id="rId3" display="rodrigo.conde@moodys.com"/>
    <hyperlink ref="C29" r:id="rId4"/>
    <hyperlink ref="C36" r:id="rId5"/>
    <hyperlink ref="E22" r:id="rId6" display="FSBR-TESOU-ABS@vwfs.com"/>
  </hyperlinks>
  <printOptions horizontalCentered="1" verticalCentered="1"/>
  <pageMargins left="0.74803149606299213" right="0.78740157480314965" top="0.47244094488188981" bottom="0.51181102362204722" header="0.51181102362204722" footer="0.51181102362204722"/>
  <pageSetup paperSize="9" scale="76" orientation="landscape" r:id="rId7"/>
  <headerFooter alignWithMargins="0">
    <oddFooter>&amp;C4&amp;R&amp;K00-045Banco Volkswagen S.A.
Rua Volkswagen, nº 291
São Paulo - SP - Brazil
Tel: +55 11 5582 5591
TESOU-ABS@vwfs.com</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6" tint="-0.499984740745262"/>
    <pageSetUpPr fitToPage="1"/>
  </sheetPr>
  <dimension ref="A1:H122"/>
  <sheetViews>
    <sheetView showGridLines="0" zoomScale="85" zoomScaleNormal="85" zoomScaleSheetLayoutView="100" workbookViewId="0">
      <selection activeCell="B13" sqref="B13:G15"/>
    </sheetView>
  </sheetViews>
  <sheetFormatPr defaultColWidth="0" defaultRowHeight="12.75" zeroHeight="1"/>
  <cols>
    <col min="1" max="1" width="3" style="47" customWidth="1"/>
    <col min="2" max="2" width="26.85546875" style="47" customWidth="1"/>
    <col min="3" max="3" width="19.85546875" style="47" customWidth="1"/>
    <col min="4" max="4" width="14.85546875" style="47" bestFit="1" customWidth="1"/>
    <col min="5" max="5" width="20.5703125" style="47" bestFit="1" customWidth="1"/>
    <col min="6" max="6" width="21.7109375" style="47" customWidth="1"/>
    <col min="7" max="7" width="25.85546875" style="47" bestFit="1" customWidth="1"/>
    <col min="8" max="8" width="0.5703125" style="38" customWidth="1"/>
    <col min="9" max="16384" width="11.42578125" style="47" hidden="1"/>
  </cols>
  <sheetData>
    <row r="1" spans="1:8" ht="14.25" customHeight="1">
      <c r="A1" s="215"/>
      <c r="B1" s="138"/>
      <c r="C1" s="139"/>
      <c r="D1" s="139"/>
      <c r="E1" s="139"/>
      <c r="F1" s="138"/>
      <c r="G1" s="142" t="str">
        <f>CONCATENATE("Publication Date: ",TEXT(Input!C7,"DD.MM.AAAA"))</f>
        <v>Publication Date: 05.03.2020</v>
      </c>
      <c r="H1" s="337"/>
    </row>
    <row r="2" spans="1:8" ht="14.25" customHeight="1">
      <c r="A2" s="217"/>
      <c r="B2" s="131"/>
      <c r="C2" s="132"/>
      <c r="D2" s="132"/>
      <c r="E2" s="132"/>
      <c r="F2" s="131"/>
      <c r="G2" s="134" t="str">
        <f>CONCATENATE("Period: ",TEXT(Input!$C$5,"MM.AAAA")," / Period No. ",Input!$C$6)</f>
        <v>Period: 02.2020 / Period No. 9</v>
      </c>
      <c r="H2" s="338"/>
    </row>
    <row r="3" spans="1:8" ht="14.25" customHeight="1">
      <c r="A3" s="131"/>
      <c r="B3" s="131"/>
      <c r="C3" s="132"/>
      <c r="D3" s="132"/>
      <c r="E3" s="132"/>
      <c r="F3" s="131"/>
      <c r="G3" s="382" t="s">
        <v>236</v>
      </c>
      <c r="H3" s="339"/>
    </row>
    <row r="4" spans="1:8">
      <c r="A4" s="64"/>
      <c r="B4" s="64"/>
      <c r="C4" s="64"/>
      <c r="D4" s="64"/>
      <c r="E4" s="64"/>
      <c r="F4" s="64"/>
      <c r="G4" s="64"/>
      <c r="H4" s="37"/>
    </row>
    <row r="5" spans="1:8" ht="15.75" customHeight="1">
      <c r="A5" s="52" t="s">
        <v>240</v>
      </c>
      <c r="B5" s="52"/>
      <c r="C5" s="52"/>
      <c r="D5" s="473"/>
      <c r="E5" s="52"/>
      <c r="F5" s="52"/>
      <c r="G5" s="52"/>
      <c r="H5" s="37"/>
    </row>
    <row r="6" spans="1:8" ht="15.75">
      <c r="A6" s="64"/>
      <c r="B6" s="52"/>
      <c r="C6" s="52"/>
      <c r="D6" s="52"/>
      <c r="E6" s="52"/>
      <c r="F6" s="52"/>
      <c r="G6" s="52"/>
      <c r="H6" s="37"/>
    </row>
    <row r="7" spans="1:8">
      <c r="A7" s="64"/>
      <c r="B7" s="787" t="s">
        <v>59</v>
      </c>
      <c r="C7" s="788"/>
      <c r="D7" s="324"/>
      <c r="E7" s="324"/>
      <c r="F7" s="324"/>
      <c r="G7" s="325"/>
      <c r="H7" s="37"/>
    </row>
    <row r="8" spans="1:8" ht="15.75" customHeight="1">
      <c r="A8" s="64"/>
      <c r="B8" s="789" t="s">
        <v>260</v>
      </c>
      <c r="C8" s="789"/>
      <c r="D8" s="323">
        <f>'Outstanding Contracts'!D42/'Reporting Details'!D19</f>
        <v>0.61154493183481706</v>
      </c>
      <c r="E8" s="791"/>
      <c r="F8" s="791"/>
      <c r="G8" s="791"/>
      <c r="H8" s="37"/>
    </row>
    <row r="9" spans="1:8" ht="18" customHeight="1">
      <c r="A9" s="64"/>
      <c r="B9" s="790" t="s">
        <v>261</v>
      </c>
      <c r="C9" s="790"/>
      <c r="D9" s="223">
        <f>Input!D53</f>
        <v>0.1</v>
      </c>
      <c r="E9" s="792" t="str">
        <f>IF(D8&lt;D9,"The Clean-Up-Call Condition has been reached.","The Clean-Up-Call Condition is planned to be reached in September 2021.")</f>
        <v>The Clean-Up-Call Condition is planned to be reached in September 2021.</v>
      </c>
      <c r="F9" s="792"/>
      <c r="G9" s="792"/>
      <c r="H9" s="37"/>
    </row>
    <row r="10" spans="1:8">
      <c r="A10" s="64"/>
      <c r="C10" s="64"/>
      <c r="D10" s="64"/>
      <c r="F10" s="214"/>
      <c r="H10" s="37"/>
    </row>
    <row r="11" spans="1:8" ht="15">
      <c r="A11" s="219" t="s">
        <v>23</v>
      </c>
      <c r="C11" s="64"/>
      <c r="D11" s="64"/>
      <c r="F11" s="214"/>
      <c r="H11" s="37"/>
    </row>
    <row r="12" spans="1:8" ht="6" customHeight="1">
      <c r="A12" s="64"/>
      <c r="C12" s="64"/>
      <c r="D12" s="64"/>
      <c r="F12" s="214"/>
      <c r="H12" s="37"/>
    </row>
    <row r="13" spans="1:8">
      <c r="A13" s="64"/>
      <c r="B13" s="786" t="s">
        <v>628</v>
      </c>
      <c r="C13" s="786"/>
      <c r="D13" s="786"/>
      <c r="E13" s="786"/>
      <c r="F13" s="786"/>
      <c r="G13" s="786"/>
      <c r="H13" s="37"/>
    </row>
    <row r="14" spans="1:8">
      <c r="A14" s="64"/>
      <c r="B14" s="786"/>
      <c r="C14" s="786"/>
      <c r="D14" s="786"/>
      <c r="E14" s="786"/>
      <c r="F14" s="786"/>
      <c r="G14" s="786"/>
      <c r="H14" s="37"/>
    </row>
    <row r="15" spans="1:8">
      <c r="A15" s="64"/>
      <c r="B15" s="786"/>
      <c r="C15" s="786"/>
      <c r="D15" s="786"/>
      <c r="E15" s="786"/>
      <c r="F15" s="786"/>
      <c r="G15" s="786"/>
      <c r="H15" s="37"/>
    </row>
    <row r="16" spans="1:8">
      <c r="A16" s="64"/>
      <c r="C16" s="64"/>
      <c r="D16" s="64"/>
      <c r="F16" s="214"/>
      <c r="H16" s="37"/>
    </row>
    <row r="17" spans="8:8" s="37" customFormat="1" hidden="1">
      <c r="H17" s="71"/>
    </row>
    <row r="18" spans="8:8" hidden="1"/>
    <row r="19" spans="8:8" hidden="1"/>
    <row r="20" spans="8:8" hidden="1"/>
    <row r="21" spans="8:8" hidden="1"/>
    <row r="22" spans="8:8" hidden="1"/>
    <row r="23" spans="8:8" hidden="1"/>
    <row r="24" spans="8:8" hidden="1"/>
    <row r="25" spans="8:8" hidden="1"/>
    <row r="26" spans="8:8" hidden="1"/>
    <row r="27" spans="8:8" hidden="1"/>
    <row r="28" spans="8:8" hidden="1"/>
    <row r="29" spans="8:8" hidden="1"/>
    <row r="30" spans="8:8" hidden="1"/>
    <row r="31" spans="8:8" hidden="1"/>
    <row r="32" spans="8: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mergeCells count="6">
    <mergeCell ref="B13:G15"/>
    <mergeCell ref="B7:C7"/>
    <mergeCell ref="B8:C8"/>
    <mergeCell ref="B9:C9"/>
    <mergeCell ref="E8:G8"/>
    <mergeCell ref="E9:G9"/>
  </mergeCells>
  <hyperlinks>
    <hyperlink ref="G3" location="Index!A1" display="Index"/>
  </hyperlinks>
  <printOptions horizontalCentered="1"/>
  <pageMargins left="0.74803149606299213" right="0.78740157480314965" top="0.47244094488188981" bottom="0.51181102362204722" header="0.51181102362204722" footer="0.51181102362204722"/>
  <pageSetup paperSize="9" scale="99" orientation="landscape" r:id="rId1"/>
  <headerFooter alignWithMargins="0">
    <oddFooter>&amp;C5&amp;R&amp;K00-046Banco Volkswagen S.A.
Rua Volkswagen, nº 291
São Paulo - SP - Brazil
Tel: +55 11 5582 5591
TESOU-ABS@vwfs.com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pageSetUpPr fitToPage="1"/>
  </sheetPr>
  <dimension ref="A1:H120"/>
  <sheetViews>
    <sheetView showGridLines="0" view="pageBreakPreview" topLeftCell="A7" zoomScaleNormal="85" zoomScaleSheetLayoutView="100" workbookViewId="0">
      <selection activeCell="F18" sqref="F18"/>
    </sheetView>
  </sheetViews>
  <sheetFormatPr defaultColWidth="0" defaultRowHeight="12.75" customHeight="1" zeroHeight="1"/>
  <cols>
    <col min="1" max="1" width="3" style="47" customWidth="1"/>
    <col min="2" max="2" width="26.85546875" style="47" customWidth="1"/>
    <col min="3" max="3" width="19.85546875" style="47" customWidth="1"/>
    <col min="4" max="4" width="12.7109375" style="47" bestFit="1" customWidth="1"/>
    <col min="5" max="5" width="20.5703125" style="47" bestFit="1" customWidth="1"/>
    <col min="6" max="6" width="21.7109375" style="47" customWidth="1"/>
    <col min="7" max="7" width="13.7109375" style="47" customWidth="1"/>
    <col min="8" max="8" width="0.42578125" style="38" customWidth="1"/>
    <col min="9" max="16384" width="11.42578125" style="47" hidden="1"/>
  </cols>
  <sheetData>
    <row r="1" spans="1:8" ht="14.25" customHeight="1">
      <c r="A1" s="215"/>
      <c r="B1" s="138"/>
      <c r="C1" s="139"/>
      <c r="D1" s="139"/>
      <c r="E1" s="139"/>
      <c r="F1" s="138"/>
      <c r="G1" s="222" t="str">
        <f>CONCATENATE("Publication Date: ",TEXT(Input!C7,"DD.MM.AAAA"))</f>
        <v>Publication Date: 05.03.2020</v>
      </c>
      <c r="H1" s="337"/>
    </row>
    <row r="2" spans="1:8" ht="14.25" customHeight="1">
      <c r="A2" s="217"/>
      <c r="B2" s="131"/>
      <c r="C2" s="132"/>
      <c r="D2" s="132"/>
      <c r="E2" s="132"/>
      <c r="F2" s="131"/>
      <c r="G2" s="261" t="str">
        <f>CONCATENATE("Period: ",TEXT(Input!$C$5,"MM.AAAA")," / Period No. ",Input!$C$6)</f>
        <v>Period: 02.2020 / Period No. 9</v>
      </c>
      <c r="H2" s="338"/>
    </row>
    <row r="3" spans="1:8" ht="14.25" customHeight="1">
      <c r="A3" s="131"/>
      <c r="B3" s="131"/>
      <c r="C3" s="132"/>
      <c r="D3" s="132"/>
      <c r="E3" s="132"/>
      <c r="F3" s="131"/>
      <c r="G3" s="382" t="s">
        <v>236</v>
      </c>
      <c r="H3" s="339"/>
    </row>
    <row r="4" spans="1:8">
      <c r="A4" s="64"/>
      <c r="B4" s="64"/>
      <c r="C4" s="64"/>
      <c r="D4" s="64"/>
      <c r="E4" s="64"/>
      <c r="F4" s="64"/>
      <c r="G4" s="64"/>
      <c r="H4" s="37"/>
    </row>
    <row r="5" spans="1:8" s="38" customFormat="1" ht="15.75" customHeight="1">
      <c r="A5" s="52" t="s">
        <v>241</v>
      </c>
      <c r="B5" s="64"/>
      <c r="C5" s="67"/>
      <c r="D5" s="67"/>
      <c r="E5" s="67"/>
      <c r="F5" s="67"/>
      <c r="G5" s="67"/>
    </row>
    <row r="6" spans="1:8" s="38" customFormat="1" ht="12.75" customHeight="1">
      <c r="A6" s="37"/>
      <c r="B6" s="64"/>
      <c r="C6" s="67"/>
      <c r="D6" s="67"/>
      <c r="E6" s="67"/>
      <c r="F6" s="67"/>
      <c r="G6" s="67"/>
    </row>
    <row r="7" spans="1:8" s="38" customFormat="1" ht="12.75" customHeight="1">
      <c r="A7" s="37"/>
      <c r="B7" s="793" t="s">
        <v>203</v>
      </c>
      <c r="C7" s="793"/>
      <c r="D7" s="793"/>
      <c r="E7" s="793"/>
      <c r="F7" s="793"/>
      <c r="G7" s="67"/>
    </row>
    <row r="8" spans="1:8" s="38" customFormat="1" ht="30.75" customHeight="1">
      <c r="A8" s="37"/>
      <c r="B8" s="794" t="s">
        <v>623</v>
      </c>
      <c r="C8" s="794"/>
      <c r="D8" s="794"/>
      <c r="E8" s="794"/>
      <c r="F8" s="319" t="s">
        <v>226</v>
      </c>
      <c r="G8" s="221"/>
    </row>
    <row r="9" spans="1:8" s="38" customFormat="1" ht="30.75" customHeight="1">
      <c r="A9" s="37"/>
      <c r="B9" s="795" t="s">
        <v>624</v>
      </c>
      <c r="C9" s="795"/>
      <c r="D9" s="795"/>
      <c r="E9" s="795"/>
      <c r="F9" s="320" t="s">
        <v>226</v>
      </c>
      <c r="G9" s="221"/>
    </row>
    <row r="10" spans="1:8" s="38" customFormat="1" ht="30.75" customHeight="1">
      <c r="A10" s="37"/>
      <c r="B10" s="794" t="s">
        <v>594</v>
      </c>
      <c r="C10" s="794"/>
      <c r="D10" s="794"/>
      <c r="E10" s="794"/>
      <c r="F10" s="319" t="s">
        <v>226</v>
      </c>
      <c r="G10" s="221"/>
    </row>
    <row r="11" spans="1:8" s="38" customFormat="1" ht="15">
      <c r="A11" s="220"/>
      <c r="B11" s="64"/>
      <c r="C11" s="64"/>
      <c r="D11" s="64"/>
      <c r="E11" s="64"/>
      <c r="F11" s="64"/>
      <c r="G11" s="124"/>
    </row>
    <row r="12" spans="1:8" ht="51">
      <c r="B12" s="297"/>
      <c r="C12" s="113"/>
      <c r="D12" s="113"/>
      <c r="E12" s="556" t="s">
        <v>430</v>
      </c>
      <c r="F12" s="556" t="s">
        <v>432</v>
      </c>
      <c r="H12" s="68"/>
    </row>
    <row r="13" spans="1:8">
      <c r="C13" s="631" t="s">
        <v>428</v>
      </c>
      <c r="D13" s="113"/>
      <c r="E13" s="617">
        <v>103922.06</v>
      </c>
      <c r="F13" s="554">
        <v>638233.82999999996</v>
      </c>
      <c r="H13" s="68"/>
    </row>
    <row r="14" spans="1:8">
      <c r="C14" s="631" t="s">
        <v>431</v>
      </c>
      <c r="D14" s="113"/>
      <c r="E14" s="675">
        <f t="shared" ref="E14:F14" si="0">+E15-E13</f>
        <v>110721.53</v>
      </c>
      <c r="F14" s="676">
        <f t="shared" si="0"/>
        <v>551111.53000000014</v>
      </c>
      <c r="H14" s="68"/>
    </row>
    <row r="15" spans="1:8">
      <c r="C15" s="631" t="s">
        <v>429</v>
      </c>
      <c r="D15" s="113"/>
      <c r="E15" s="617">
        <v>214643.59</v>
      </c>
      <c r="F15" s="554">
        <v>1189345.3600000001</v>
      </c>
      <c r="H15" s="68"/>
    </row>
    <row r="16" spans="1:8">
      <c r="B16" s="516"/>
      <c r="C16" s="516"/>
      <c r="D16" s="516"/>
      <c r="E16" s="516"/>
      <c r="F16" s="630"/>
      <c r="H16" s="68"/>
    </row>
    <row r="17" spans="3:8" ht="12.75" customHeight="1">
      <c r="C17" s="796" t="s">
        <v>427</v>
      </c>
      <c r="D17" s="796"/>
      <c r="E17" s="796"/>
      <c r="F17" s="488">
        <f>+'Reporting Details'!D19</f>
        <v>1093528974.5</v>
      </c>
      <c r="H17" s="68"/>
    </row>
    <row r="18" spans="3:8" ht="12.75" customHeight="1">
      <c r="C18" s="631" t="s">
        <v>535</v>
      </c>
      <c r="D18" s="555"/>
      <c r="E18" s="555"/>
      <c r="F18" s="376">
        <f>+F15/F17</f>
        <v>1.0876212590012174E-3</v>
      </c>
      <c r="H18" s="68"/>
    </row>
    <row r="19" spans="3:8" s="38" customFormat="1">
      <c r="H19" s="68"/>
    </row>
    <row r="20" spans="3:8" s="38" customFormat="1">
      <c r="H20" s="68"/>
    </row>
    <row r="21" spans="3:8" s="70" customFormat="1">
      <c r="H21" s="68"/>
    </row>
    <row r="22" spans="3:8" s="38" customFormat="1">
      <c r="H22" s="68"/>
    </row>
    <row r="23" spans="3:8" s="38" customFormat="1" ht="18" customHeight="1">
      <c r="H23" s="68"/>
    </row>
    <row r="24" spans="3:8" s="38" customFormat="1" ht="9" customHeight="1">
      <c r="H24" s="68"/>
    </row>
    <row r="25" spans="3:8" s="38" customFormat="1" ht="16.5" customHeight="1">
      <c r="H25" s="68"/>
    </row>
    <row r="26" spans="3:8" s="38" customFormat="1" ht="18.75" customHeight="1">
      <c r="H26" s="68"/>
    </row>
    <row r="27" spans="3:8" s="38" customFormat="1" ht="9" customHeight="1">
      <c r="H27" s="68"/>
    </row>
    <row r="28" spans="3:8" s="38" customFormat="1" ht="15.75" customHeight="1">
      <c r="H28" s="68"/>
    </row>
    <row r="29" spans="3:8" s="38" customFormat="1" ht="21.75" customHeight="1">
      <c r="H29" s="68"/>
    </row>
    <row r="30" spans="3:8" s="38" customFormat="1" ht="3" customHeight="1">
      <c r="H30" s="68"/>
    </row>
    <row r="31" spans="3:8" s="37" customFormat="1" ht="3" customHeight="1">
      <c r="H31" s="71"/>
    </row>
    <row r="32" spans="3:8" s="37" customFormat="1" ht="3" customHeight="1">
      <c r="H32" s="71"/>
    </row>
    <row r="33" spans="8:8" s="37" customFormat="1" ht="3" customHeight="1">
      <c r="H33" s="71"/>
    </row>
    <row r="34" spans="8:8" s="37" customFormat="1" ht="3" customHeight="1">
      <c r="H34" s="71"/>
    </row>
    <row r="35" spans="8:8" s="70" customFormat="1" ht="3" customHeight="1">
      <c r="H35" s="68"/>
    </row>
    <row r="36" spans="8:8" s="70" customFormat="1" ht="35.25" customHeight="1">
      <c r="H36" s="68"/>
    </row>
    <row r="37" spans="8:8" s="70" customFormat="1" ht="40.5" customHeight="1">
      <c r="H37" s="68"/>
    </row>
    <row r="38" spans="8:8" s="70" customFormat="1" ht="36.75" customHeight="1">
      <c r="H38" s="68"/>
    </row>
    <row r="39" spans="8:8" s="70" customFormat="1" ht="36.75" customHeight="1">
      <c r="H39" s="68"/>
    </row>
    <row r="40" spans="8:8" s="70" customFormat="1">
      <c r="H40" s="68"/>
    </row>
    <row r="41" spans="8:8" s="70" customFormat="1">
      <c r="H41" s="68"/>
    </row>
    <row r="42" spans="8:8" s="70" customFormat="1">
      <c r="H42" s="68"/>
    </row>
    <row r="43" spans="8:8" s="70" customFormat="1" hidden="1">
      <c r="H43" s="68"/>
    </row>
    <row r="44" spans="8:8" s="70" customFormat="1" ht="6" hidden="1" customHeight="1">
      <c r="H44" s="68"/>
    </row>
    <row r="45" spans="8:8" s="70" customFormat="1" ht="14.25" hidden="1" customHeight="1">
      <c r="H45" s="68"/>
    </row>
    <row r="46" spans="8:8" s="38" customFormat="1" ht="11.25" hidden="1" customHeight="1">
      <c r="H46" s="68"/>
    </row>
    <row r="47" spans="8:8" s="38" customFormat="1" ht="11.25" hidden="1" customHeight="1">
      <c r="H47" s="68"/>
    </row>
    <row r="48" spans="8:8" ht="15" hidden="1" customHeight="1">
      <c r="H48" s="68"/>
    </row>
    <row r="49" spans="4:8" hidden="1"/>
    <row r="50" spans="4:8" hidden="1"/>
    <row r="51" spans="4:8" hidden="1"/>
    <row r="52" spans="4:8" hidden="1">
      <c r="D52" s="80"/>
      <c r="E52" s="80"/>
      <c r="F52" s="80"/>
      <c r="G52" s="80"/>
      <c r="H52" s="61"/>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sheetData>
  <mergeCells count="5">
    <mergeCell ref="B7:F7"/>
    <mergeCell ref="B8:E8"/>
    <mergeCell ref="B9:E9"/>
    <mergeCell ref="B10:E10"/>
    <mergeCell ref="C17:E17"/>
  </mergeCells>
  <conditionalFormatting sqref="F8:F10">
    <cfRule type="cellIs" dxfId="381" priority="5" operator="notEqual">
      <formula>"no"</formula>
    </cfRule>
    <cfRule type="cellIs" dxfId="380" priority="6" operator="equal">
      <formula>"no"</formula>
    </cfRule>
  </conditionalFormatting>
  <hyperlinks>
    <hyperlink ref="G3" location="Index!A1" display="Index"/>
  </hyperlinks>
  <pageMargins left="2.1259842519685042" right="0.78740157480314965" top="0.47244094488188981" bottom="0.70866141732283472" header="0.51181102362204722" footer="0.51181102362204722"/>
  <pageSetup paperSize="9" scale="77" orientation="landscape" r:id="rId1"/>
  <headerFooter alignWithMargins="0">
    <oddFooter>&amp;C6&amp;R&amp;K00-046Banco Volkswagen S.A.
Rua Volkswagen, nº 291
São Paulo - SP - Brazil
Tel: +55 11 5582 5591
TESOU-ABS@vwfs.com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O60"/>
  <sheetViews>
    <sheetView showGridLines="0" zoomScale="85" zoomScaleNormal="85" workbookViewId="0">
      <selection activeCell="F7" sqref="F7:H7"/>
    </sheetView>
  </sheetViews>
  <sheetFormatPr defaultColWidth="0" defaultRowHeight="12.75" zeroHeight="1"/>
  <cols>
    <col min="1" max="1" width="1" customWidth="1"/>
    <col min="2" max="2" width="25.85546875" customWidth="1"/>
    <col min="3" max="3" width="11.7109375" hidden="1" customWidth="1"/>
    <col min="4" max="4" width="12.140625" hidden="1" customWidth="1"/>
    <col min="5" max="5" width="11.42578125" hidden="1" customWidth="1"/>
    <col min="6" max="6" width="12.7109375" customWidth="1"/>
    <col min="7" max="7" width="13.140625" hidden="1" customWidth="1"/>
    <col min="8" max="8" width="11.42578125" customWidth="1"/>
    <col min="9" max="9" width="12.7109375" hidden="1" customWidth="1"/>
    <col min="10" max="10" width="13.140625" hidden="1" customWidth="1"/>
    <col min="11" max="11" width="11.42578125" hidden="1" customWidth="1"/>
    <col min="12" max="12" width="12.7109375" customWidth="1"/>
    <col min="13" max="13" width="13.85546875" hidden="1" customWidth="1"/>
    <col min="14" max="14" width="11.42578125" customWidth="1"/>
    <col min="15" max="15" width="0.42578125" customWidth="1"/>
    <col min="16" max="16384" width="11.42578125" hidden="1"/>
  </cols>
  <sheetData>
    <row r="1" spans="1:15" ht="14.25" customHeight="1">
      <c r="A1" s="217"/>
      <c r="B1" s="218"/>
      <c r="C1" s="132"/>
      <c r="D1" s="132"/>
      <c r="E1" s="131"/>
      <c r="F1" s="131"/>
      <c r="G1" s="131"/>
      <c r="H1" s="131"/>
      <c r="I1" s="613"/>
      <c r="J1" s="613"/>
      <c r="K1" s="613"/>
      <c r="L1" s="613"/>
      <c r="M1" s="224"/>
      <c r="N1" s="226" t="str">
        <f>CONCATENATE("Publication Date: ",TEXT(Input!C7,"DD.MM.AAAA"))</f>
        <v>Publication Date: 05.03.2020</v>
      </c>
    </row>
    <row r="2" spans="1:15" ht="14.25" customHeight="1">
      <c r="A2" s="217"/>
      <c r="B2" s="218"/>
      <c r="C2" s="132"/>
      <c r="D2" s="132"/>
      <c r="E2" s="131"/>
      <c r="F2" s="131"/>
      <c r="G2" s="131"/>
      <c r="H2" s="131"/>
      <c r="I2" s="224"/>
      <c r="J2" s="224"/>
      <c r="K2" s="224"/>
      <c r="L2" s="224"/>
      <c r="M2" s="224"/>
      <c r="N2" s="134" t="str">
        <f>CONCATENATE("Period: ",TEXT(Input!$C$5,"MM.AAAA")," / Period No. ",Input!$C$6)</f>
        <v>Period: 02.2020 / Period No. 9</v>
      </c>
    </row>
    <row r="3" spans="1:15" ht="14.25" customHeight="1">
      <c r="A3" s="131"/>
      <c r="B3" s="218"/>
      <c r="C3" s="132"/>
      <c r="D3" s="132"/>
      <c r="E3" s="131"/>
      <c r="F3" s="131"/>
      <c r="G3" s="131"/>
      <c r="H3" s="131"/>
      <c r="I3" s="224"/>
      <c r="J3" s="224"/>
      <c r="K3" s="224"/>
      <c r="L3" s="224"/>
      <c r="M3" s="224"/>
      <c r="N3" s="383" t="s">
        <v>236</v>
      </c>
    </row>
    <row r="4" spans="1:15"/>
    <row r="5" spans="1:15" ht="15.75" customHeight="1">
      <c r="A5" s="52" t="s">
        <v>242</v>
      </c>
      <c r="B5" s="52"/>
    </row>
    <row r="6" spans="1:15"/>
    <row r="7" spans="1:15">
      <c r="A7" s="37"/>
      <c r="B7" s="69" t="s">
        <v>327</v>
      </c>
      <c r="C7" s="804"/>
      <c r="D7" s="804"/>
      <c r="E7" s="804"/>
      <c r="F7" s="801" t="s">
        <v>595</v>
      </c>
      <c r="G7" s="802"/>
      <c r="H7" s="803"/>
      <c r="I7" s="801"/>
      <c r="J7" s="802"/>
      <c r="K7" s="803"/>
      <c r="L7" s="801" t="s">
        <v>13</v>
      </c>
      <c r="M7" s="802"/>
      <c r="N7" s="803"/>
      <c r="O7" s="37"/>
    </row>
    <row r="8" spans="1:15">
      <c r="A8" s="64"/>
      <c r="B8" s="348" t="s">
        <v>329</v>
      </c>
      <c r="C8" s="395" t="s">
        <v>311</v>
      </c>
      <c r="D8" s="395" t="s">
        <v>312</v>
      </c>
      <c r="E8" s="395" t="s">
        <v>322</v>
      </c>
      <c r="F8" s="395" t="s">
        <v>247</v>
      </c>
      <c r="G8" s="395" t="s">
        <v>248</v>
      </c>
      <c r="H8" s="395" t="s">
        <v>249</v>
      </c>
      <c r="I8" s="395" t="s">
        <v>323</v>
      </c>
      <c r="J8" s="395" t="s">
        <v>324</v>
      </c>
      <c r="K8" s="395" t="s">
        <v>325</v>
      </c>
      <c r="L8" s="395" t="s">
        <v>250</v>
      </c>
      <c r="M8" s="395" t="s">
        <v>251</v>
      </c>
      <c r="N8" s="395" t="s">
        <v>252</v>
      </c>
      <c r="O8" s="64"/>
    </row>
    <row r="9" spans="1:15" s="344" customFormat="1">
      <c r="A9" s="64"/>
      <c r="B9" s="348" t="s">
        <v>332</v>
      </c>
      <c r="C9" s="340"/>
      <c r="D9" s="340"/>
      <c r="E9" s="340"/>
      <c r="F9" s="340" t="s">
        <v>58</v>
      </c>
      <c r="G9" s="340"/>
      <c r="H9" s="340" t="s">
        <v>58</v>
      </c>
      <c r="I9" s="340"/>
      <c r="J9" s="340"/>
      <c r="K9" s="340"/>
      <c r="L9" s="340" t="s">
        <v>58</v>
      </c>
      <c r="M9" s="340" t="s">
        <v>331</v>
      </c>
      <c r="N9" s="340" t="s">
        <v>58</v>
      </c>
      <c r="O9" s="343"/>
    </row>
    <row r="10" spans="1:15" s="344" customFormat="1">
      <c r="A10" s="64"/>
      <c r="B10" s="355"/>
      <c r="C10" s="454"/>
      <c r="D10" s="454"/>
      <c r="E10" s="455"/>
      <c r="F10" s="446"/>
      <c r="G10" s="446"/>
      <c r="H10" s="447"/>
      <c r="I10" s="446"/>
      <c r="J10" s="446"/>
      <c r="K10" s="447"/>
      <c r="L10" s="446"/>
      <c r="M10" s="446"/>
      <c r="N10" s="447"/>
      <c r="O10" s="343"/>
    </row>
    <row r="11" spans="1:15">
      <c r="A11" s="37"/>
      <c r="B11" s="69" t="s">
        <v>326</v>
      </c>
      <c r="C11" s="804"/>
      <c r="D11" s="804"/>
      <c r="E11" s="804"/>
      <c r="F11" s="801" t="s">
        <v>595</v>
      </c>
      <c r="G11" s="802"/>
      <c r="H11" s="803"/>
      <c r="I11" s="801"/>
      <c r="J11" s="802"/>
      <c r="K11" s="803"/>
      <c r="L11" s="801" t="s">
        <v>13</v>
      </c>
      <c r="M11" s="802"/>
      <c r="N11" s="803"/>
      <c r="O11" s="37"/>
    </row>
    <row r="12" spans="1:15">
      <c r="A12" s="64"/>
      <c r="B12" s="348" t="s">
        <v>328</v>
      </c>
      <c r="C12" s="491" t="s">
        <v>311</v>
      </c>
      <c r="D12" s="491" t="s">
        <v>312</v>
      </c>
      <c r="E12" s="491" t="s">
        <v>322</v>
      </c>
      <c r="F12" s="491" t="s">
        <v>247</v>
      </c>
      <c r="G12" s="491" t="s">
        <v>248</v>
      </c>
      <c r="H12" s="491" t="s">
        <v>249</v>
      </c>
      <c r="I12" s="491" t="s">
        <v>323</v>
      </c>
      <c r="J12" s="491" t="s">
        <v>324</v>
      </c>
      <c r="K12" s="491" t="s">
        <v>325</v>
      </c>
      <c r="L12" s="491" t="s">
        <v>250</v>
      </c>
      <c r="M12" s="491" t="s">
        <v>251</v>
      </c>
      <c r="N12" s="491" t="s">
        <v>252</v>
      </c>
      <c r="O12" s="64"/>
    </row>
    <row r="13" spans="1:15" s="344" customFormat="1">
      <c r="A13" s="64"/>
      <c r="B13" s="348" t="s">
        <v>332</v>
      </c>
      <c r="C13" s="489"/>
      <c r="D13" s="490"/>
      <c r="E13" s="490"/>
      <c r="F13" s="651" t="s">
        <v>596</v>
      </c>
      <c r="G13" s="652"/>
      <c r="H13" s="651" t="s">
        <v>271</v>
      </c>
      <c r="I13" s="652"/>
      <c r="J13" s="652"/>
      <c r="K13" s="652"/>
      <c r="L13" s="652" t="s">
        <v>612</v>
      </c>
      <c r="M13" s="652" t="s">
        <v>331</v>
      </c>
      <c r="N13" s="651" t="s">
        <v>271</v>
      </c>
      <c r="O13" s="343"/>
    </row>
    <row r="14" spans="1:15" s="344" customFormat="1">
      <c r="A14" s="64"/>
      <c r="B14" s="355"/>
      <c r="C14" s="454"/>
      <c r="D14" s="454"/>
      <c r="E14" s="455"/>
      <c r="F14" s="446"/>
      <c r="G14" s="446"/>
      <c r="H14" s="447"/>
      <c r="I14" s="446"/>
      <c r="J14" s="446"/>
      <c r="K14" s="447"/>
      <c r="L14" s="446"/>
      <c r="M14" s="446"/>
      <c r="N14" s="447"/>
      <c r="O14" s="343"/>
    </row>
    <row r="15" spans="1:15">
      <c r="A15" s="37"/>
      <c r="B15" s="69" t="s">
        <v>63</v>
      </c>
      <c r="C15" s="804"/>
      <c r="D15" s="804"/>
      <c r="E15" s="804"/>
      <c r="F15" s="801" t="s">
        <v>595</v>
      </c>
      <c r="G15" s="802"/>
      <c r="H15" s="803"/>
      <c r="I15" s="801"/>
      <c r="J15" s="802"/>
      <c r="K15" s="803"/>
      <c r="L15" s="801" t="s">
        <v>13</v>
      </c>
      <c r="M15" s="802"/>
      <c r="N15" s="803"/>
      <c r="O15" s="37"/>
    </row>
    <row r="16" spans="1:15">
      <c r="A16" s="37"/>
      <c r="B16" s="348" t="s">
        <v>613</v>
      </c>
      <c r="C16" s="295" t="s">
        <v>311</v>
      </c>
      <c r="D16" s="295" t="s">
        <v>312</v>
      </c>
      <c r="E16" s="295" t="s">
        <v>322</v>
      </c>
      <c r="F16" s="295" t="s">
        <v>247</v>
      </c>
      <c r="G16" s="295" t="s">
        <v>248</v>
      </c>
      <c r="H16" s="295" t="s">
        <v>249</v>
      </c>
      <c r="I16" s="295" t="s">
        <v>323</v>
      </c>
      <c r="J16" s="295" t="s">
        <v>324</v>
      </c>
      <c r="K16" s="295" t="s">
        <v>325</v>
      </c>
      <c r="L16" s="295" t="s">
        <v>250</v>
      </c>
      <c r="M16" s="295" t="s">
        <v>251</v>
      </c>
      <c r="N16" s="295" t="s">
        <v>252</v>
      </c>
      <c r="O16" s="37"/>
    </row>
    <row r="17" spans="1:15">
      <c r="A17" s="37"/>
      <c r="B17" s="348" t="s">
        <v>332</v>
      </c>
      <c r="C17" s="340"/>
      <c r="D17" s="340"/>
      <c r="E17" s="340"/>
      <c r="F17" s="489" t="s">
        <v>596</v>
      </c>
      <c r="G17" s="490"/>
      <c r="H17" s="340" t="s">
        <v>271</v>
      </c>
      <c r="I17" s="490"/>
      <c r="J17" s="490"/>
      <c r="K17" s="490"/>
      <c r="L17" s="490" t="s">
        <v>612</v>
      </c>
      <c r="M17" s="490"/>
      <c r="N17" s="340" t="s">
        <v>271</v>
      </c>
      <c r="O17" s="37"/>
    </row>
    <row r="18" spans="1:15">
      <c r="A18" s="37"/>
      <c r="B18" s="349"/>
      <c r="C18" s="341"/>
      <c r="D18" s="341"/>
      <c r="E18" s="341"/>
      <c r="F18" s="341"/>
      <c r="G18" s="341"/>
      <c r="H18" s="341"/>
      <c r="I18" s="341"/>
      <c r="J18" s="341"/>
      <c r="K18" s="341"/>
      <c r="L18" s="341"/>
      <c r="M18" s="341"/>
      <c r="N18" s="341"/>
      <c r="O18" s="37"/>
    </row>
    <row r="19" spans="1:15">
      <c r="A19" s="37"/>
      <c r="B19" s="69" t="s">
        <v>231</v>
      </c>
      <c r="C19" s="797"/>
      <c r="D19" s="797"/>
      <c r="E19" s="797"/>
      <c r="F19" s="798" t="s">
        <v>595</v>
      </c>
      <c r="G19" s="799"/>
      <c r="H19" s="800"/>
      <c r="I19" s="798"/>
      <c r="J19" s="799"/>
      <c r="K19" s="800"/>
      <c r="L19" s="798" t="s">
        <v>13</v>
      </c>
      <c r="M19" s="799"/>
      <c r="N19" s="800"/>
      <c r="O19" s="37"/>
    </row>
    <row r="20" spans="1:15" ht="12.75" customHeight="1">
      <c r="A20" s="37"/>
      <c r="B20" s="348" t="s">
        <v>272</v>
      </c>
      <c r="C20" s="295" t="s">
        <v>311</v>
      </c>
      <c r="D20" s="295" t="s">
        <v>312</v>
      </c>
      <c r="E20" s="295" t="s">
        <v>322</v>
      </c>
      <c r="F20" s="295" t="s">
        <v>247</v>
      </c>
      <c r="G20" s="295" t="s">
        <v>248</v>
      </c>
      <c r="H20" s="295" t="s">
        <v>249</v>
      </c>
      <c r="I20" s="295" t="s">
        <v>323</v>
      </c>
      <c r="J20" s="295" t="s">
        <v>324</v>
      </c>
      <c r="K20" s="295" t="s">
        <v>325</v>
      </c>
      <c r="L20" s="295" t="s">
        <v>250</v>
      </c>
      <c r="M20" s="295" t="s">
        <v>251</v>
      </c>
      <c r="N20" s="295" t="s">
        <v>252</v>
      </c>
      <c r="O20" s="37"/>
    </row>
    <row r="21" spans="1:15">
      <c r="A21" s="37"/>
      <c r="B21" s="348" t="s">
        <v>332</v>
      </c>
      <c r="C21" s="340"/>
      <c r="D21" s="340"/>
      <c r="E21" s="345"/>
      <c r="F21" s="490" t="s">
        <v>58</v>
      </c>
      <c r="G21" s="490" t="s">
        <v>58</v>
      </c>
      <c r="H21" s="490" t="s">
        <v>58</v>
      </c>
      <c r="I21" s="340"/>
      <c r="J21" s="340"/>
      <c r="K21" s="345"/>
      <c r="L21" s="340" t="s">
        <v>58</v>
      </c>
      <c r="M21" s="340" t="s">
        <v>58</v>
      </c>
      <c r="N21" s="340" t="s">
        <v>58</v>
      </c>
      <c r="O21" s="37"/>
    </row>
    <row r="22" spans="1:15" ht="12.75" customHeight="1">
      <c r="A22" s="37"/>
      <c r="B22" s="349"/>
      <c r="C22" s="340"/>
      <c r="D22" s="340"/>
      <c r="E22" s="345"/>
      <c r="F22" s="346"/>
      <c r="G22" s="346"/>
      <c r="H22" s="347"/>
      <c r="I22" s="346"/>
      <c r="J22" s="346"/>
      <c r="K22" s="347"/>
      <c r="L22" s="346"/>
      <c r="M22" s="346"/>
      <c r="N22" s="347"/>
      <c r="O22" s="37"/>
    </row>
    <row r="23" spans="1:15" hidden="1">
      <c r="A23" s="37"/>
      <c r="B23" s="225"/>
      <c r="C23" s="72"/>
      <c r="D23" s="72"/>
      <c r="E23" s="75"/>
      <c r="F23" s="73"/>
      <c r="G23" s="73"/>
      <c r="H23" s="342"/>
      <c r="I23" s="73"/>
      <c r="J23" s="73"/>
      <c r="K23" s="342"/>
      <c r="L23" s="73"/>
      <c r="M23" s="73"/>
      <c r="N23" s="342"/>
      <c r="O23" s="37"/>
    </row>
    <row r="24" spans="1:15" hidden="1">
      <c r="A24" s="37"/>
      <c r="B24" s="74"/>
      <c r="C24" s="72"/>
      <c r="D24" s="72"/>
      <c r="E24" s="72"/>
      <c r="F24" s="73"/>
      <c r="G24" s="73"/>
      <c r="H24" s="73"/>
      <c r="I24" s="73"/>
      <c r="J24" s="73"/>
      <c r="L24" s="116"/>
      <c r="M24" s="73"/>
      <c r="N24" s="73"/>
      <c r="O24" s="37"/>
    </row>
    <row r="25" spans="1:15" hidden="1">
      <c r="A25" s="37"/>
      <c r="B25" s="77"/>
      <c r="C25" s="75"/>
      <c r="D25" s="75"/>
      <c r="E25" s="75"/>
      <c r="F25" s="76"/>
      <c r="G25" s="76"/>
      <c r="H25" s="76"/>
      <c r="I25" s="76"/>
      <c r="J25" s="37"/>
      <c r="L25" s="37"/>
      <c r="M25" s="78"/>
      <c r="N25" s="79"/>
      <c r="O25" s="37"/>
    </row>
    <row r="26" spans="1:15" hidden="1"/>
    <row r="27" spans="1:15" hidden="1"/>
    <row r="28" spans="1:15" hidden="1"/>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sheetData>
  <mergeCells count="16">
    <mergeCell ref="C19:E19"/>
    <mergeCell ref="F19:H19"/>
    <mergeCell ref="I19:K19"/>
    <mergeCell ref="L19:N19"/>
    <mergeCell ref="L7:N7"/>
    <mergeCell ref="C7:E7"/>
    <mergeCell ref="F7:H7"/>
    <mergeCell ref="I7:K7"/>
    <mergeCell ref="C15:E15"/>
    <mergeCell ref="F15:H15"/>
    <mergeCell ref="I15:K15"/>
    <mergeCell ref="L15:N15"/>
    <mergeCell ref="C11:E11"/>
    <mergeCell ref="F11:H11"/>
    <mergeCell ref="I11:K11"/>
    <mergeCell ref="L11:N11"/>
  </mergeCells>
  <hyperlinks>
    <hyperlink ref="N3" location="Index!A1" display="Index"/>
  </hyperlinks>
  <printOptions horizontalCentered="1"/>
  <pageMargins left="0.70866141732283472" right="0.70866141732283472" top="0.78740157480314965" bottom="0.78740157480314965" header="0.31496062992125984" footer="0.31496062992125984"/>
  <pageSetup paperSize="9" orientation="landscape" r:id="rId1"/>
  <headerFooter>
    <oddFooter>&amp;C7&amp;R&amp;K8B8B8BBanco Volkswagen S.A.
Rua Volkswagen, nº 291
São Paulo - SP - Brazil
Tel: +55 11 5582 5591
TESOU-ABS@vwfs.com</oddFooter>
  </headerFooter>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6" tint="-0.499984740745262"/>
    <pageSetUpPr fitToPage="1"/>
  </sheetPr>
  <dimension ref="A1:N173"/>
  <sheetViews>
    <sheetView showGridLines="0" zoomScale="85" zoomScaleNormal="85" zoomScaleSheetLayoutView="100" workbookViewId="0">
      <selection activeCell="C16" sqref="C16"/>
    </sheetView>
  </sheetViews>
  <sheetFormatPr defaultColWidth="0" defaultRowHeight="12" zeroHeight="1"/>
  <cols>
    <col min="1" max="1" width="1.7109375" style="1" customWidth="1"/>
    <col min="2" max="2" width="30.7109375" style="4" bestFit="1" customWidth="1"/>
    <col min="3" max="3" width="37.42578125" style="1" customWidth="1"/>
    <col min="4" max="4" width="37.42578125" style="1" hidden="1" customWidth="1"/>
    <col min="5" max="5" width="0.42578125" style="1" customWidth="1"/>
    <col min="6" max="7" width="11.42578125" style="1" hidden="1" customWidth="1"/>
    <col min="8" max="8" width="21.7109375" style="1" hidden="1" customWidth="1"/>
    <col min="9" max="9" width="14.7109375" style="1" hidden="1" customWidth="1"/>
    <col min="10" max="10" width="21.7109375" style="1" hidden="1" customWidth="1"/>
    <col min="11" max="14" width="14.7109375" style="1" hidden="1" customWidth="1"/>
    <col min="15" max="16384" width="11.42578125" style="1" hidden="1"/>
  </cols>
  <sheetData>
    <row r="1" spans="1:5" ht="14.25" customHeight="1">
      <c r="A1" s="131"/>
      <c r="B1" s="218"/>
      <c r="C1" s="143" t="str">
        <f>CONCATENATE("Publication Date: ",TEXT(Input!C7,"DD.MM.AAAA"))</f>
        <v>Publication Date: 05.03.2020</v>
      </c>
    </row>
    <row r="2" spans="1:5" ht="14.25" customHeight="1">
      <c r="A2" s="131"/>
      <c r="B2" s="218"/>
      <c r="C2" s="134" t="str">
        <f>CONCATENATE("Period: ",TEXT(Input!$C$5,"MM.AAAA")," / Period No. ",Input!$C$6)</f>
        <v>Period: 02.2020 / Period No. 9</v>
      </c>
      <c r="E2" s="21"/>
    </row>
    <row r="3" spans="1:5" ht="14.25" customHeight="1">
      <c r="A3" s="131"/>
      <c r="B3" s="131"/>
      <c r="C3" s="382" t="s">
        <v>236</v>
      </c>
      <c r="E3" s="21"/>
    </row>
    <row r="4" spans="1:5" ht="12" customHeight="1">
      <c r="A4" s="64"/>
      <c r="B4" s="212"/>
      <c r="C4" s="64"/>
      <c r="D4" s="227"/>
      <c r="E4" s="21"/>
    </row>
    <row r="5" spans="1:5" ht="15.75" customHeight="1">
      <c r="A5" s="52" t="s">
        <v>234</v>
      </c>
      <c r="B5" s="50"/>
      <c r="C5" s="115"/>
      <c r="D5" s="115"/>
      <c r="E5" s="21"/>
    </row>
    <row r="6" spans="1:5" s="6" customFormat="1" ht="16.5" customHeight="1">
      <c r="A6" s="37"/>
      <c r="B6" s="53"/>
      <c r="C6" s="37"/>
      <c r="D6" s="37"/>
      <c r="E6" s="20"/>
    </row>
    <row r="7" spans="1:5" s="6" customFormat="1" ht="15.75">
      <c r="A7" s="37"/>
      <c r="B7" s="236" t="s">
        <v>12</v>
      </c>
      <c r="C7" s="237" t="s">
        <v>333</v>
      </c>
      <c r="D7" s="237" t="s">
        <v>334</v>
      </c>
      <c r="E7" s="20"/>
    </row>
    <row r="8" spans="1:5" s="6" customFormat="1" ht="15">
      <c r="A8" s="37"/>
      <c r="B8" s="239" t="s">
        <v>13</v>
      </c>
      <c r="C8" s="229" t="str">
        <f>+Input!F41</f>
        <v>Aaa.br</v>
      </c>
      <c r="D8" s="229" t="s">
        <v>58</v>
      </c>
      <c r="E8" s="20"/>
    </row>
    <row r="9" spans="1:5" s="6" customFormat="1" ht="15">
      <c r="A9" s="37"/>
      <c r="B9" s="239" t="s">
        <v>597</v>
      </c>
      <c r="C9" s="229" t="str">
        <f>+Input!E41</f>
        <v>AAA(bra)</v>
      </c>
      <c r="D9" s="231" t="s">
        <v>58</v>
      </c>
      <c r="E9" s="20"/>
    </row>
    <row r="10" spans="1:5" s="6" customFormat="1" ht="15">
      <c r="A10" s="37"/>
      <c r="B10" s="144"/>
      <c r="C10" s="228"/>
      <c r="D10" s="228"/>
      <c r="E10" s="20"/>
    </row>
    <row r="11" spans="1:5" s="6" customFormat="1" ht="15.75">
      <c r="A11" s="37"/>
      <c r="B11" s="144" t="s">
        <v>14</v>
      </c>
      <c r="C11" s="237" t="s">
        <v>333</v>
      </c>
      <c r="D11" s="237" t="s">
        <v>334</v>
      </c>
      <c r="E11" s="20"/>
    </row>
    <row r="12" spans="1:5" s="6" customFormat="1" ht="15">
      <c r="A12" s="37"/>
      <c r="B12" s="239" t="s">
        <v>13</v>
      </c>
      <c r="C12" s="229" t="str">
        <f>+Input!I41</f>
        <v>Aaa.br</v>
      </c>
      <c r="D12" s="229" t="s">
        <v>58</v>
      </c>
      <c r="E12" s="20"/>
    </row>
    <row r="13" spans="1:5" s="6" customFormat="1" ht="15">
      <c r="A13" s="37"/>
      <c r="B13" s="239" t="s">
        <v>597</v>
      </c>
      <c r="C13" s="229" t="str">
        <f>+Input!H41</f>
        <v>AAA(bra)</v>
      </c>
      <c r="D13" s="231" t="s">
        <v>58</v>
      </c>
      <c r="E13" s="20"/>
    </row>
    <row r="14" spans="1:5" s="6" customFormat="1" ht="15">
      <c r="A14" s="37"/>
      <c r="B14" s="144"/>
      <c r="C14" s="144"/>
      <c r="D14" s="230"/>
      <c r="E14" s="20"/>
    </row>
    <row r="15" spans="1:5" s="6" customFormat="1" ht="15.75">
      <c r="A15" s="37"/>
      <c r="B15" s="238" t="s">
        <v>15</v>
      </c>
      <c r="C15" s="237" t="s">
        <v>333</v>
      </c>
      <c r="D15" s="237" t="s">
        <v>334</v>
      </c>
      <c r="E15" s="20"/>
    </row>
    <row r="16" spans="1:5" s="6" customFormat="1" ht="15">
      <c r="A16" s="37"/>
      <c r="B16" s="239" t="s">
        <v>262</v>
      </c>
      <c r="C16" s="232" t="str">
        <f>Input!D37</f>
        <v>July 2024</v>
      </c>
      <c r="D16" s="232" t="s">
        <v>58</v>
      </c>
      <c r="E16" s="20"/>
    </row>
    <row r="17" spans="1:5" s="6" customFormat="1" ht="15" customHeight="1">
      <c r="A17" s="37"/>
      <c r="B17" s="154" t="s">
        <v>200</v>
      </c>
      <c r="C17" s="496" t="str">
        <f>+'Reporting Details'!$B$9</f>
        <v>September 2021</v>
      </c>
      <c r="D17" s="496" t="s">
        <v>58</v>
      </c>
      <c r="E17" s="20"/>
    </row>
    <row r="18" spans="1:5" s="6" customFormat="1" ht="15">
      <c r="A18" s="37"/>
      <c r="B18" s="239" t="s">
        <v>57</v>
      </c>
      <c r="C18" s="233" t="str">
        <f>Input!G30</f>
        <v>BR0012CTF007</v>
      </c>
      <c r="D18" s="233" t="s">
        <v>58</v>
      </c>
      <c r="E18" s="20"/>
    </row>
    <row r="19" spans="1:5" s="6" customFormat="1" ht="15">
      <c r="A19" s="37"/>
      <c r="B19" s="239" t="s">
        <v>16</v>
      </c>
      <c r="C19" s="495">
        <f>Input!I30</f>
        <v>10000</v>
      </c>
      <c r="D19" s="495">
        <f>Input!I31</f>
        <v>0</v>
      </c>
      <c r="E19" s="20"/>
    </row>
    <row r="20" spans="1:5" s="6" customFormat="1" ht="15.75">
      <c r="A20" s="37"/>
      <c r="B20" s="212"/>
      <c r="C20" s="144"/>
      <c r="D20" s="144"/>
      <c r="E20" s="20"/>
    </row>
    <row r="21" spans="1:5" s="6" customFormat="1" ht="15.75">
      <c r="A21" s="37"/>
      <c r="B21" s="240" t="s">
        <v>17</v>
      </c>
      <c r="C21" s="51" t="s">
        <v>333</v>
      </c>
      <c r="D21" s="51" t="s">
        <v>334</v>
      </c>
      <c r="E21" s="20"/>
    </row>
    <row r="22" spans="1:5" s="6" customFormat="1" ht="15">
      <c r="A22" s="37"/>
      <c r="B22" s="154" t="s">
        <v>18</v>
      </c>
      <c r="C22" s="232" t="str">
        <f>Input!F37</f>
        <v>Daily CDI</v>
      </c>
      <c r="D22" s="232" t="s">
        <v>58</v>
      </c>
      <c r="E22" s="20"/>
    </row>
    <row r="23" spans="1:5" s="6" customFormat="1" ht="15">
      <c r="A23" s="37"/>
      <c r="B23" s="154" t="s">
        <v>19</v>
      </c>
      <c r="C23" s="232" t="str">
        <f>Input!G37</f>
        <v>floating</v>
      </c>
      <c r="D23" s="232" t="s">
        <v>58</v>
      </c>
      <c r="E23" s="20"/>
    </row>
    <row r="24" spans="1:5" s="6" customFormat="1" ht="15">
      <c r="A24" s="37"/>
      <c r="B24" s="154" t="s">
        <v>21</v>
      </c>
      <c r="C24" s="232" t="s">
        <v>635</v>
      </c>
      <c r="D24" s="234" t="s">
        <v>58</v>
      </c>
      <c r="E24" s="20"/>
    </row>
    <row r="25" spans="1:5" s="6" customFormat="1" ht="15">
      <c r="A25" s="37"/>
      <c r="B25" s="154" t="s">
        <v>22</v>
      </c>
      <c r="C25" s="235" t="str">
        <f>Input!H37</f>
        <v>actual/252</v>
      </c>
      <c r="D25" s="235" t="s">
        <v>58</v>
      </c>
      <c r="E25" s="20"/>
    </row>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row r="173"/>
  </sheetData>
  <phoneticPr fontId="26" type="noConversion"/>
  <hyperlinks>
    <hyperlink ref="C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&amp;C8&amp;R&amp;K00-046Banco Volkswagen S.A.
Rua Volkswagen, nº 291
São Paulo - SP - Brazil
Tel: +55 11 5582 5591
TESOU-ABS@vwfs.com</oddFooter>
  </headerFooter>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6" tint="-0.499984740745262"/>
    <pageSetUpPr fitToPage="1"/>
  </sheetPr>
  <dimension ref="A1:P73"/>
  <sheetViews>
    <sheetView showGridLines="0" zoomScale="85" zoomScaleNormal="85" zoomScaleSheetLayoutView="100" workbookViewId="0">
      <selection activeCell="C30" sqref="C30"/>
    </sheetView>
  </sheetViews>
  <sheetFormatPr defaultColWidth="0" defaultRowHeight="12" zeroHeight="1"/>
  <cols>
    <col min="1" max="1" width="1.140625" style="1" customWidth="1"/>
    <col min="2" max="2" width="40.5703125" style="4" bestFit="1" customWidth="1"/>
    <col min="3" max="3" width="23.28515625" style="1" customWidth="1"/>
    <col min="4" max="4" width="17.7109375" style="1" hidden="1" customWidth="1"/>
    <col min="5" max="5" width="0.28515625" style="1" customWidth="1"/>
    <col min="6" max="6" width="10.7109375" style="1" hidden="1" customWidth="1"/>
    <col min="7" max="7" width="2.5703125" style="1" hidden="1" customWidth="1"/>
    <col min="8" max="8" width="3.140625" style="1" hidden="1" customWidth="1"/>
    <col min="9" max="9" width="5.85546875" style="1" hidden="1" customWidth="1"/>
    <col min="10" max="10" width="6.140625" style="1" hidden="1" customWidth="1"/>
    <col min="11" max="11" width="1.7109375" style="1" hidden="1" customWidth="1"/>
    <col min="12" max="12" width="11.7109375" style="1" hidden="1" customWidth="1"/>
    <col min="13" max="14" width="11.42578125" style="1" hidden="1" customWidth="1"/>
    <col min="15" max="15" width="21.7109375" style="1" hidden="1" customWidth="1"/>
    <col min="16" max="16" width="14.7109375" style="1" hidden="1" customWidth="1"/>
    <col min="17" max="16384" width="11.42578125" style="1" hidden="1"/>
  </cols>
  <sheetData>
    <row r="1" spans="1:11" ht="14.25" customHeight="1">
      <c r="A1" s="131"/>
      <c r="B1" s="218"/>
      <c r="C1" s="134" t="str">
        <f>CONCATENATE("Publication Date: ",TEXT(Input!B7,"DD.MM.AAAA"))</f>
        <v>Publication Date: Information Date:</v>
      </c>
      <c r="D1" s="134" t="str">
        <f>CONCATENATE("Publication Date: ",TEXT(Input!C7,"DD.MM.AAAA"))</f>
        <v>Publication Date: 05.03.2020</v>
      </c>
      <c r="E1" s="64"/>
      <c r="F1" s="49"/>
      <c r="G1" s="809"/>
      <c r="H1" s="809"/>
      <c r="I1" s="809"/>
      <c r="J1" s="809"/>
      <c r="K1" s="809"/>
    </row>
    <row r="2" spans="1:11" ht="14.25" customHeight="1">
      <c r="A2" s="131"/>
      <c r="B2" s="218"/>
      <c r="C2" s="134" t="str">
        <f>CONCATENATE("Period: ",TEXT(Input!$C$5,"MM.AAAA")," / Period No. ",Input!$C$6)</f>
        <v>Period: 02.2020 / Period No. 9</v>
      </c>
      <c r="D2" s="134" t="str">
        <f>CONCATENATE("Period: ",TEXT(Input!$C$5,"MM.AAAA")," / Period No. ",Input!$C$6)</f>
        <v>Period: 02.2020 / Period No. 9</v>
      </c>
      <c r="E2" s="64"/>
      <c r="F2" s="49"/>
      <c r="G2" s="810"/>
      <c r="H2" s="810"/>
      <c r="I2" s="810"/>
      <c r="J2" s="810"/>
      <c r="K2" s="810"/>
    </row>
    <row r="3" spans="1:11" ht="14.25" customHeight="1">
      <c r="A3" s="131"/>
      <c r="B3" s="131"/>
      <c r="C3" s="380" t="s">
        <v>236</v>
      </c>
      <c r="D3" s="380" t="s">
        <v>236</v>
      </c>
      <c r="E3" s="227"/>
      <c r="F3" s="49"/>
      <c r="G3" s="811"/>
      <c r="H3" s="811"/>
      <c r="I3" s="811"/>
      <c r="J3" s="811"/>
      <c r="K3" s="811"/>
    </row>
    <row r="4" spans="1:11" ht="12" customHeight="1">
      <c r="A4" s="16"/>
      <c r="B4" s="13"/>
      <c r="C4" s="241"/>
      <c r="D4" s="8"/>
      <c r="E4" s="241"/>
      <c r="F4" s="241"/>
      <c r="G4" s="3"/>
      <c r="H4" s="806"/>
      <c r="I4" s="806"/>
      <c r="J4" s="806"/>
      <c r="K4" s="23"/>
    </row>
    <row r="5" spans="1:11" ht="15.75" customHeight="1">
      <c r="A5" s="18" t="s">
        <v>235</v>
      </c>
      <c r="C5" s="8"/>
      <c r="D5" s="8"/>
      <c r="E5" s="8"/>
      <c r="F5" s="8"/>
      <c r="G5" s="8"/>
      <c r="H5" s="808"/>
      <c r="I5" s="808"/>
      <c r="J5" s="808"/>
      <c r="K5" s="7"/>
    </row>
    <row r="6" spans="1:11" ht="15.75">
      <c r="A6" s="18"/>
      <c r="B6" s="243"/>
      <c r="C6" s="8"/>
      <c r="D6" s="8"/>
      <c r="E6" s="8"/>
      <c r="F6" s="8"/>
      <c r="G6" s="3"/>
      <c r="H6" s="807"/>
      <c r="I6" s="807"/>
      <c r="J6" s="807"/>
      <c r="K6" s="242"/>
    </row>
    <row r="7" spans="1:11" s="6" customFormat="1" ht="12.75" customHeight="1">
      <c r="A7" s="37"/>
      <c r="B7" s="249" t="s">
        <v>5</v>
      </c>
      <c r="C7" s="721">
        <f>Input!C5</f>
        <v>43890</v>
      </c>
      <c r="D7" s="721"/>
      <c r="E7" s="256"/>
      <c r="F7" s="37"/>
      <c r="G7" s="37"/>
      <c r="H7" s="37"/>
      <c r="I7" s="37"/>
      <c r="J7" s="37"/>
      <c r="K7" s="37"/>
    </row>
    <row r="8" spans="1:11" s="6" customFormat="1" ht="12.75" customHeight="1">
      <c r="A8" s="37"/>
      <c r="B8" s="250" t="s">
        <v>6</v>
      </c>
      <c r="C8" s="253">
        <f>Input!C8</f>
        <v>43867</v>
      </c>
      <c r="D8" s="253"/>
      <c r="E8" s="253"/>
      <c r="F8" s="37"/>
      <c r="G8" s="37"/>
      <c r="H8" s="37"/>
      <c r="I8" s="37"/>
      <c r="J8" s="37"/>
      <c r="K8" s="37"/>
    </row>
    <row r="9" spans="1:11" s="6" customFormat="1" ht="12.75" customHeight="1">
      <c r="A9" s="37"/>
      <c r="B9" s="249" t="s">
        <v>151</v>
      </c>
      <c r="C9" s="721" t="str">
        <f>CONCATENATE(TEXT(Input!C10,"DD/MM/AAAA")," until ",TEXT(Input!C11,"DD/MM/AAAAA"))</f>
        <v>07/01/2020 until 06/02/2020</v>
      </c>
      <c r="D9" s="721"/>
      <c r="E9" s="253"/>
      <c r="F9" s="37"/>
      <c r="G9" s="37"/>
      <c r="H9" s="37"/>
      <c r="I9" s="37"/>
      <c r="J9" s="37"/>
      <c r="K9" s="37"/>
    </row>
    <row r="10" spans="1:11" s="6" customFormat="1" ht="12.75" customHeight="1">
      <c r="A10" s="37"/>
      <c r="B10" s="250" t="s">
        <v>152</v>
      </c>
      <c r="C10" s="717">
        <f>NETWORKDAYS(Input!C10,Input!C11,Feriado!A2:A937)</f>
        <v>23</v>
      </c>
      <c r="D10" s="254"/>
      <c r="E10" s="254"/>
      <c r="F10" s="37"/>
      <c r="G10" s="37"/>
      <c r="H10" s="37"/>
      <c r="I10" s="37"/>
      <c r="J10" s="37"/>
      <c r="K10" s="37"/>
    </row>
    <row r="11" spans="1:11" s="6" customFormat="1" ht="12.75" customHeight="1">
      <c r="A11" s="37"/>
      <c r="B11" s="249" t="s">
        <v>18</v>
      </c>
      <c r="C11" s="716" t="str">
        <f>Input!F37</f>
        <v>Daily CDI</v>
      </c>
      <c r="D11" s="722"/>
      <c r="E11" s="254"/>
      <c r="F11" s="37"/>
      <c r="G11" s="37"/>
      <c r="H11" s="37"/>
      <c r="I11" s="37"/>
      <c r="J11" s="37"/>
      <c r="K11" s="37"/>
    </row>
    <row r="12" spans="1:11" s="6" customFormat="1" ht="12.75" customHeight="1">
      <c r="A12" s="37"/>
      <c r="B12" s="250" t="s">
        <v>492</v>
      </c>
      <c r="C12" s="715">
        <f>Input!C12</f>
        <v>4.1500000000000002E-2</v>
      </c>
      <c r="D12" s="723"/>
      <c r="E12" s="255"/>
      <c r="F12" s="37"/>
      <c r="G12" s="37"/>
      <c r="H12" s="37"/>
      <c r="I12" s="37"/>
      <c r="J12" s="37"/>
      <c r="K12" s="37"/>
    </row>
    <row r="13" spans="1:11" s="6" customFormat="1" ht="12.75" customHeight="1">
      <c r="A13" s="37"/>
      <c r="B13" s="249" t="s">
        <v>22</v>
      </c>
      <c r="C13" s="716" t="str">
        <f>Input!H37</f>
        <v>actual/252</v>
      </c>
      <c r="D13" s="722"/>
      <c r="E13" s="254"/>
      <c r="F13" s="37"/>
      <c r="G13" s="37"/>
      <c r="H13" s="37"/>
      <c r="I13" s="37"/>
      <c r="J13" s="37"/>
      <c r="K13" s="37"/>
    </row>
    <row r="14" spans="1:11" s="6" customFormat="1" ht="12.75">
      <c r="A14" s="37"/>
      <c r="B14" s="111"/>
      <c r="C14" s="37"/>
      <c r="D14" s="37"/>
      <c r="E14" s="37"/>
      <c r="F14" s="37"/>
      <c r="G14" s="37"/>
      <c r="H14" s="37"/>
      <c r="I14" s="37"/>
      <c r="J14" s="37"/>
      <c r="K14" s="37"/>
    </row>
    <row r="15" spans="1:11" s="6" customFormat="1" ht="12.75" customHeight="1">
      <c r="A15" s="37"/>
      <c r="B15" s="37" t="s">
        <v>153</v>
      </c>
      <c r="C15" s="76" t="s">
        <v>333</v>
      </c>
      <c r="D15" s="76" t="s">
        <v>334</v>
      </c>
      <c r="G15" s="57"/>
      <c r="H15" s="57"/>
      <c r="J15" s="57"/>
      <c r="K15" s="57"/>
    </row>
    <row r="16" spans="1:11" s="6" customFormat="1" ht="12.75" customHeight="1">
      <c r="A16" s="37"/>
      <c r="B16" s="246" t="s">
        <v>154</v>
      </c>
      <c r="C16" s="497">
        <v>2729696.6501773596</v>
      </c>
      <c r="D16" s="497">
        <v>0</v>
      </c>
      <c r="G16" s="244"/>
      <c r="H16" s="8"/>
      <c r="K16" s="37"/>
    </row>
    <row r="17" spans="1:15" s="6" customFormat="1" ht="12.75" customHeight="1">
      <c r="A17" s="37"/>
      <c r="B17" s="246"/>
      <c r="C17" s="247"/>
      <c r="D17" s="247"/>
      <c r="G17" s="244"/>
      <c r="H17" s="8"/>
      <c r="K17" s="37"/>
    </row>
    <row r="18" spans="1:15" s="19" customFormat="1" ht="12.75">
      <c r="A18" s="46"/>
      <c r="B18" s="71" t="s">
        <v>24</v>
      </c>
      <c r="C18" s="76" t="s">
        <v>333</v>
      </c>
      <c r="D18" s="76" t="s">
        <v>334</v>
      </c>
      <c r="F18" s="57"/>
      <c r="G18" s="57"/>
      <c r="H18" s="57"/>
      <c r="I18" s="57"/>
      <c r="J18" s="57"/>
      <c r="K18" s="46"/>
    </row>
    <row r="19" spans="1:15" s="19" customFormat="1" ht="12.75" customHeight="1">
      <c r="A19" s="46"/>
      <c r="B19" s="46" t="s">
        <v>493</v>
      </c>
      <c r="C19" s="497">
        <v>682070325.07732129</v>
      </c>
      <c r="D19" s="497">
        <v>0</v>
      </c>
      <c r="F19" s="245"/>
      <c r="G19" s="251"/>
      <c r="I19" s="245"/>
      <c r="J19" s="245"/>
      <c r="K19" s="46"/>
    </row>
    <row r="20" spans="1:15" s="19" customFormat="1" ht="12.75" customHeight="1">
      <c r="A20" s="46"/>
      <c r="B20" s="46" t="s">
        <v>494</v>
      </c>
      <c r="C20" s="497">
        <v>634870325.07982266</v>
      </c>
      <c r="D20" s="497">
        <v>0</v>
      </c>
      <c r="F20" s="247"/>
      <c r="G20" s="252"/>
      <c r="I20" s="247"/>
      <c r="J20" s="247"/>
      <c r="K20" s="46"/>
    </row>
    <row r="21" spans="1:15" s="19" customFormat="1" ht="12.75" customHeight="1">
      <c r="A21" s="46"/>
      <c r="B21" s="258" t="s">
        <v>507</v>
      </c>
      <c r="C21" s="498">
        <f>+C19-C20</f>
        <v>47199999.997498631</v>
      </c>
      <c r="D21" s="498">
        <f>+D19-D20</f>
        <v>0</v>
      </c>
      <c r="F21" s="125"/>
      <c r="G21" s="58"/>
      <c r="H21" s="125"/>
      <c r="I21" s="125"/>
      <c r="J21" s="125"/>
      <c r="K21" s="46"/>
    </row>
    <row r="22" spans="1:15" s="19" customFormat="1" ht="12.75" customHeight="1">
      <c r="A22" s="46"/>
      <c r="B22" s="260"/>
      <c r="C22" s="497"/>
      <c r="D22" s="497"/>
      <c r="F22" s="125"/>
      <c r="G22" s="58"/>
      <c r="H22" s="125"/>
      <c r="I22" s="125"/>
      <c r="J22" s="125"/>
      <c r="K22" s="46"/>
    </row>
    <row r="23" spans="1:15" s="19" customFormat="1" ht="12.75" customHeight="1">
      <c r="A23" s="46"/>
      <c r="B23" s="262" t="s">
        <v>506</v>
      </c>
      <c r="C23" s="76" t="s">
        <v>333</v>
      </c>
      <c r="D23" s="76" t="s">
        <v>334</v>
      </c>
      <c r="F23" s="257"/>
      <c r="G23" s="57"/>
      <c r="I23" s="257"/>
      <c r="J23" s="257"/>
      <c r="K23" s="46"/>
    </row>
    <row r="24" spans="1:15" s="19" customFormat="1" ht="12.75" customHeight="1">
      <c r="A24" s="46"/>
      <c r="B24" s="46" t="s">
        <v>52</v>
      </c>
      <c r="C24" s="499">
        <f>+C16/C26</f>
        <v>27.296966501773596</v>
      </c>
      <c r="D24" s="499">
        <v>0</v>
      </c>
      <c r="F24" s="104"/>
      <c r="G24" s="104"/>
      <c r="I24" s="104"/>
      <c r="J24" s="104"/>
      <c r="K24" s="46"/>
    </row>
    <row r="25" spans="1:15" s="19" customFormat="1" ht="12.75" customHeight="1">
      <c r="A25" s="46"/>
      <c r="B25" s="46" t="s">
        <v>507</v>
      </c>
      <c r="C25" s="499">
        <f>+C21/C26</f>
        <v>471.99999997498634</v>
      </c>
      <c r="D25" s="499">
        <v>0</v>
      </c>
      <c r="F25" s="104"/>
      <c r="G25" s="58"/>
      <c r="I25" s="104"/>
      <c r="J25" s="104"/>
      <c r="K25" s="46"/>
    </row>
    <row r="26" spans="1:15" s="19" customFormat="1" ht="12.75" customHeight="1">
      <c r="A26" s="46"/>
      <c r="B26" s="393" t="s">
        <v>245</v>
      </c>
      <c r="C26" s="394">
        <f>Input!C37</f>
        <v>100000</v>
      </c>
      <c r="D26" s="394">
        <f>Input!C38</f>
        <v>0</v>
      </c>
      <c r="F26" s="104"/>
      <c r="G26" s="58"/>
      <c r="I26" s="104"/>
      <c r="J26" s="104"/>
      <c r="K26" s="46"/>
    </row>
    <row r="27" spans="1:15" s="19" customFormat="1" ht="12.75" customHeight="1">
      <c r="A27" s="46"/>
      <c r="B27" s="263"/>
      <c r="C27" s="58"/>
      <c r="D27" s="58"/>
      <c r="E27" s="812"/>
      <c r="F27" s="812"/>
      <c r="G27" s="46"/>
      <c r="H27" s="812"/>
      <c r="I27" s="812"/>
      <c r="J27" s="812"/>
      <c r="K27" s="46"/>
    </row>
    <row r="28" spans="1:15" s="19" customFormat="1" ht="12.75" customHeight="1">
      <c r="A28" s="46"/>
      <c r="B28" s="264" t="s">
        <v>25</v>
      </c>
      <c r="C28" s="76" t="s">
        <v>333</v>
      </c>
      <c r="D28" s="76" t="s">
        <v>334</v>
      </c>
      <c r="F28" s="257"/>
      <c r="G28" s="57"/>
      <c r="I28" s="257"/>
      <c r="J28" s="257"/>
      <c r="K28" s="46"/>
    </row>
    <row r="29" spans="1:15" s="19" customFormat="1" ht="12.75" customHeight="1">
      <c r="A29" s="46"/>
      <c r="B29" s="46" t="s">
        <v>26</v>
      </c>
      <c r="C29" s="653">
        <f>Input!D30</f>
        <v>8.5529489095398481E-2</v>
      </c>
      <c r="D29" s="653">
        <f>Input!D31</f>
        <v>0</v>
      </c>
      <c r="F29" s="105"/>
      <c r="G29" s="58"/>
      <c r="I29" s="105"/>
      <c r="J29" s="105"/>
      <c r="K29" s="46"/>
      <c r="M29" s="34"/>
      <c r="N29" s="35"/>
      <c r="O29" s="35"/>
    </row>
    <row r="30" spans="1:15" s="19" customFormat="1" ht="12.75" customHeight="1">
      <c r="A30" s="46"/>
      <c r="B30" s="46" t="s">
        <v>27</v>
      </c>
      <c r="C30" s="653">
        <v>0.10026380061104856</v>
      </c>
      <c r="D30" s="653">
        <v>0</v>
      </c>
      <c r="F30" s="105"/>
      <c r="G30" s="105"/>
      <c r="I30" s="105"/>
      <c r="J30" s="105"/>
      <c r="K30" s="46"/>
    </row>
    <row r="31" spans="1:15" s="19" customFormat="1" ht="12.75" customHeight="1">
      <c r="A31" s="46"/>
      <c r="B31" s="46" t="s">
        <v>28</v>
      </c>
      <c r="C31" s="653">
        <v>0.1</v>
      </c>
      <c r="D31" s="653">
        <v>0</v>
      </c>
      <c r="F31" s="105"/>
      <c r="G31" s="105"/>
      <c r="I31" s="105"/>
      <c r="J31" s="105"/>
      <c r="K31" s="46"/>
    </row>
    <row r="32" spans="1:15" s="19" customFormat="1" ht="12.75" hidden="1" customHeight="1">
      <c r="A32" s="46"/>
      <c r="B32" s="82"/>
      <c r="C32" s="375"/>
      <c r="D32" s="374"/>
      <c r="E32" s="33"/>
      <c r="F32" s="33"/>
      <c r="G32" s="15"/>
      <c r="H32" s="33"/>
      <c r="I32" s="33"/>
      <c r="J32" s="33"/>
      <c r="K32" s="46"/>
    </row>
    <row r="33" spans="1:11" s="19" customFormat="1" ht="12.75" hidden="1" customHeight="1">
      <c r="A33" s="46"/>
      <c r="B33" s="46"/>
      <c r="C33" s="387"/>
      <c r="D33" s="387"/>
      <c r="E33" s="22"/>
      <c r="F33" s="259"/>
      <c r="G33" s="259"/>
      <c r="H33" s="259"/>
      <c r="I33" s="259"/>
      <c r="J33" s="259"/>
      <c r="K33" s="46"/>
    </row>
    <row r="34" spans="1:11" s="19" customFormat="1" ht="12.75" hidden="1" customHeight="1">
      <c r="A34" s="46"/>
      <c r="B34" s="46"/>
      <c r="C34" s="387"/>
      <c r="D34" s="387"/>
      <c r="E34" s="22"/>
      <c r="F34" s="805"/>
      <c r="G34" s="805"/>
      <c r="H34" s="805"/>
      <c r="I34" s="805"/>
      <c r="J34" s="805"/>
      <c r="K34" s="46"/>
    </row>
    <row r="35" spans="1:11" s="19" customFormat="1" ht="12.75" hidden="1" customHeight="1">
      <c r="A35" s="46"/>
      <c r="B35" s="46"/>
      <c r="C35" s="387"/>
      <c r="D35" s="387"/>
      <c r="E35" s="22"/>
      <c r="F35" s="805"/>
      <c r="G35" s="805"/>
      <c r="H35" s="805"/>
      <c r="I35" s="805"/>
      <c r="J35" s="805"/>
      <c r="K35" s="46"/>
    </row>
    <row r="36" spans="1:11" s="19" customFormat="1" ht="12.75" hidden="1" customHeight="1">
      <c r="A36" s="46"/>
      <c r="B36" s="46"/>
      <c r="C36" s="387"/>
      <c r="D36" s="387"/>
      <c r="E36" s="22"/>
      <c r="F36" s="805"/>
      <c r="G36" s="805"/>
      <c r="H36" s="805"/>
      <c r="I36" s="805"/>
      <c r="J36" s="805"/>
      <c r="K36" s="46"/>
    </row>
    <row r="37" spans="1:11" hidden="1"/>
    <row r="38" spans="1:11" hidden="1"/>
    <row r="39" spans="1:11" hidden="1"/>
    <row r="40" spans="1:11" hidden="1"/>
    <row r="41" spans="1:11" hidden="1"/>
    <row r="42" spans="1:11" hidden="1"/>
    <row r="43" spans="1:11" hidden="1"/>
    <row r="44" spans="1:11" hidden="1"/>
    <row r="45" spans="1:11" hidden="1"/>
    <row r="46" spans="1:11" hidden="1"/>
    <row r="47" spans="1:11" hidden="1"/>
    <row r="48" spans="1: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row r="73" hidden="1"/>
  </sheetData>
  <mergeCells count="11">
    <mergeCell ref="G1:K1"/>
    <mergeCell ref="G2:K2"/>
    <mergeCell ref="G3:K3"/>
    <mergeCell ref="E27:F27"/>
    <mergeCell ref="H27:J27"/>
    <mergeCell ref="F34:J34"/>
    <mergeCell ref="F35:J35"/>
    <mergeCell ref="F36:J36"/>
    <mergeCell ref="H4:J4"/>
    <mergeCell ref="H6:J6"/>
    <mergeCell ref="H5:J5"/>
  </mergeCells>
  <phoneticPr fontId="26" type="noConversion"/>
  <hyperlinks>
    <hyperlink ref="D3" location="Index!A1" display="Index"/>
    <hyperlink ref="C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&amp;C9&amp;R&amp;K00-046Banco Volkswagen S.A.
Rua Volkswagen, nº 291
São Paulo - SP - Brazil
Tel: +55 11 5582 5591
TESOU-ABS@vwfs.com</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499984740745262"/>
    <pageSetUpPr fitToPage="1"/>
  </sheetPr>
  <dimension ref="A1:U70"/>
  <sheetViews>
    <sheetView showGridLines="0" zoomScale="85" zoomScaleNormal="85" zoomScaleSheetLayoutView="100" workbookViewId="0">
      <selection activeCell="C11" sqref="C11"/>
    </sheetView>
  </sheetViews>
  <sheetFormatPr defaultColWidth="0" defaultRowHeight="12" zeroHeight="1"/>
  <cols>
    <col min="1" max="1" width="1.5703125" style="50" customWidth="1"/>
    <col min="2" max="2" width="39.5703125" style="47" bestFit="1" customWidth="1"/>
    <col min="3" max="3" width="32.28515625" style="47" customWidth="1"/>
    <col min="4" max="4" width="31.140625" style="47" customWidth="1"/>
    <col min="5" max="5" width="0.7109375" style="47" customWidth="1"/>
    <col min="6" max="6" width="11.42578125" style="47" hidden="1" customWidth="1"/>
    <col min="7" max="7" width="21.7109375" style="47" hidden="1" customWidth="1"/>
    <col min="8" max="8" width="14.7109375" style="47" hidden="1" customWidth="1"/>
    <col min="9" max="16384" width="11.42578125" style="47" hidden="1"/>
  </cols>
  <sheetData>
    <row r="1" spans="1:21" ht="14.25" customHeight="1">
      <c r="A1" s="216"/>
      <c r="B1" s="139"/>
      <c r="C1" s="139"/>
      <c r="D1" s="550" t="str">
        <f>CONCATENATE("Publication Date: ",TEXT(Input!C7,"DD.MM.AAAA"))</f>
        <v>Publication Date: 05.03.2020</v>
      </c>
    </row>
    <row r="2" spans="1:21" ht="14.25" customHeight="1">
      <c r="A2" s="218"/>
      <c r="B2" s="132"/>
      <c r="C2" s="132"/>
      <c r="D2" s="134" t="str">
        <f>CONCATENATE("Period: ",TEXT(Input!$C$5,"MM.AAAA")," / Period No. ",Input!$C$6)</f>
        <v>Period: 02.2020 / Period No. 9</v>
      </c>
    </row>
    <row r="3" spans="1:21" ht="14.25" customHeight="1">
      <c r="A3" s="218"/>
      <c r="B3" s="132"/>
      <c r="C3" s="132"/>
      <c r="D3" s="380" t="s">
        <v>236</v>
      </c>
    </row>
    <row r="4" spans="1:21" ht="12" customHeight="1">
      <c r="A4" s="212"/>
      <c r="B4" s="64"/>
      <c r="C4" s="211"/>
      <c r="D4" s="227"/>
    </row>
    <row r="5" spans="1:21" ht="15.75" customHeight="1">
      <c r="A5" s="52" t="s">
        <v>29</v>
      </c>
      <c r="B5" s="52"/>
      <c r="C5" s="51"/>
      <c r="D5" s="37"/>
    </row>
    <row r="6" spans="1:21" ht="15.75">
      <c r="A6" s="52"/>
      <c r="B6" s="52"/>
      <c r="C6" s="52"/>
      <c r="D6" s="37"/>
    </row>
    <row r="7" spans="1:21" s="38" customFormat="1" ht="25.5">
      <c r="B7" s="461" t="s">
        <v>337</v>
      </c>
      <c r="C7" s="128" t="s">
        <v>338</v>
      </c>
      <c r="D7" s="129" t="s">
        <v>156</v>
      </c>
    </row>
    <row r="8" spans="1:21" s="38" customFormat="1" ht="12.75" customHeight="1">
      <c r="B8" s="246" t="s">
        <v>334</v>
      </c>
      <c r="C8" s="386">
        <f>D8/Input!$D$94</f>
        <v>0</v>
      </c>
      <c r="D8" s="500">
        <f>Input!C31</f>
        <v>0</v>
      </c>
    </row>
    <row r="9" spans="1:21" s="38" customFormat="1" ht="12.75">
      <c r="B9" s="246" t="s">
        <v>335</v>
      </c>
      <c r="C9" s="386">
        <f>D9/Input!$D$94</f>
        <v>0.10050030914841571</v>
      </c>
      <c r="D9" s="500">
        <f>Input!C32</f>
        <v>109900000</v>
      </c>
    </row>
    <row r="10" spans="1:21" s="38" customFormat="1" ht="12.75" customHeight="1">
      <c r="B10" s="246" t="s">
        <v>155</v>
      </c>
      <c r="C10" s="386">
        <f>D10/Input!$D$94</f>
        <v>0.10050030914841571</v>
      </c>
      <c r="D10" s="500">
        <f>+Input!C32+Input!C31</f>
        <v>109900000</v>
      </c>
    </row>
    <row r="11" spans="1:21" s="38" customFormat="1" ht="12.75" customHeight="1">
      <c r="B11" s="246" t="s">
        <v>89</v>
      </c>
      <c r="C11" s="386">
        <v>0.01</v>
      </c>
      <c r="D11" s="500">
        <f>Input!D94*Input!D54</f>
        <v>10935289.745000001</v>
      </c>
    </row>
    <row r="12" spans="1:21" s="38" customFormat="1" ht="12.75" customHeight="1">
      <c r="A12" s="53"/>
      <c r="B12" s="37"/>
      <c r="C12" s="37"/>
      <c r="D12" s="126"/>
    </row>
    <row r="13" spans="1:21" s="38" customFormat="1" ht="12.75" customHeight="1">
      <c r="A13" s="53"/>
      <c r="B13" s="37"/>
      <c r="C13" s="37"/>
      <c r="D13" s="126"/>
    </row>
    <row r="14" spans="1:21" s="38" customFormat="1" ht="12.75" customHeight="1">
      <c r="A14" s="52" t="s">
        <v>30</v>
      </c>
      <c r="B14" s="52"/>
      <c r="C14" s="59"/>
      <c r="D14" s="59"/>
    </row>
    <row r="15" spans="1:21" s="38" customFormat="1" ht="12.75" customHeight="1">
      <c r="A15" s="127"/>
      <c r="B15" s="127"/>
      <c r="C15" s="59"/>
      <c r="D15" s="59"/>
    </row>
    <row r="16" spans="1:21" s="38" customFormat="1" ht="12.75">
      <c r="A16" s="819" t="s">
        <v>638</v>
      </c>
      <c r="B16" s="819"/>
      <c r="C16" s="819"/>
      <c r="D16" s="819"/>
      <c r="E16" s="819"/>
      <c r="F16" s="59"/>
      <c r="G16" s="59"/>
      <c r="H16" s="59"/>
      <c r="I16" s="59"/>
      <c r="J16" s="59"/>
      <c r="K16" s="59"/>
      <c r="L16" s="59"/>
      <c r="M16" s="59"/>
      <c r="N16" s="59"/>
      <c r="O16" s="59"/>
      <c r="P16" s="59"/>
      <c r="Q16" s="59"/>
      <c r="R16" s="59"/>
      <c r="S16" s="59"/>
      <c r="T16" s="59"/>
      <c r="U16" s="59"/>
    </row>
    <row r="17" spans="1:21" s="38" customFormat="1" ht="12.75">
      <c r="A17" s="819" t="s">
        <v>339</v>
      </c>
      <c r="B17" s="819"/>
      <c r="C17" s="819"/>
      <c r="D17" s="819"/>
      <c r="E17" s="819"/>
      <c r="F17" s="59"/>
      <c r="G17" s="59"/>
      <c r="H17" s="59"/>
      <c r="I17" s="59"/>
      <c r="J17" s="59"/>
      <c r="K17" s="59"/>
      <c r="L17" s="59"/>
      <c r="M17" s="59"/>
      <c r="N17" s="59"/>
      <c r="O17" s="59"/>
      <c r="P17" s="59"/>
      <c r="Q17" s="59"/>
      <c r="R17" s="59"/>
      <c r="S17" s="59"/>
      <c r="T17" s="59"/>
      <c r="U17" s="59"/>
    </row>
    <row r="18" spans="1:21" s="38" customFormat="1" ht="40.5" customHeight="1">
      <c r="A18" s="819" t="s">
        <v>639</v>
      </c>
      <c r="B18" s="819"/>
      <c r="C18" s="819"/>
      <c r="D18" s="819"/>
      <c r="E18" s="819"/>
      <c r="F18" s="60"/>
      <c r="G18" s="60"/>
      <c r="H18" s="60"/>
      <c r="I18" s="60"/>
      <c r="J18" s="60"/>
      <c r="K18" s="60"/>
      <c r="L18" s="60"/>
      <c r="M18" s="60"/>
      <c r="N18" s="60"/>
      <c r="O18" s="60"/>
      <c r="P18" s="60"/>
      <c r="Q18" s="60"/>
      <c r="R18" s="60"/>
      <c r="S18" s="60"/>
      <c r="T18" s="60"/>
      <c r="U18" s="60"/>
    </row>
    <row r="19" spans="1:21" s="38" customFormat="1" ht="12.75">
      <c r="A19" s="817"/>
      <c r="B19" s="818"/>
      <c r="C19" s="818"/>
      <c r="D19" s="818"/>
      <c r="E19" s="60"/>
      <c r="F19" s="60"/>
      <c r="G19" s="60"/>
      <c r="H19" s="60"/>
      <c r="I19" s="60"/>
      <c r="J19" s="60"/>
      <c r="K19" s="60"/>
      <c r="L19" s="60"/>
      <c r="M19" s="60"/>
      <c r="N19" s="60"/>
      <c r="O19" s="60"/>
      <c r="P19" s="60"/>
      <c r="Q19" s="60"/>
      <c r="R19" s="60"/>
      <c r="S19" s="60"/>
      <c r="T19" s="60"/>
      <c r="U19" s="60"/>
    </row>
    <row r="20" spans="1:21" s="38" customFormat="1" ht="12.75" hidden="1">
      <c r="A20" s="818"/>
      <c r="B20" s="818"/>
      <c r="C20" s="818"/>
      <c r="D20" s="818"/>
      <c r="E20" s="60"/>
      <c r="F20" s="60"/>
      <c r="G20" s="60"/>
      <c r="H20" s="60"/>
      <c r="I20" s="60"/>
      <c r="J20" s="60"/>
      <c r="K20" s="60"/>
      <c r="L20" s="60"/>
      <c r="M20" s="60"/>
      <c r="N20" s="60"/>
      <c r="O20" s="60"/>
      <c r="P20" s="60"/>
      <c r="Q20" s="60"/>
      <c r="R20" s="60"/>
      <c r="S20" s="60"/>
      <c r="T20" s="60"/>
      <c r="U20" s="60"/>
    </row>
    <row r="21" spans="1:21" s="38" customFormat="1" ht="12.75" hidden="1">
      <c r="A21" s="818"/>
      <c r="B21" s="818"/>
      <c r="C21" s="818"/>
      <c r="D21" s="818"/>
      <c r="E21" s="62"/>
      <c r="F21" s="62"/>
      <c r="G21" s="62"/>
      <c r="H21" s="62"/>
      <c r="I21" s="62"/>
      <c r="J21" s="62"/>
      <c r="K21" s="62"/>
      <c r="L21" s="62"/>
      <c r="M21" s="62"/>
      <c r="N21" s="62"/>
      <c r="O21" s="62"/>
      <c r="P21" s="62"/>
      <c r="Q21" s="62"/>
      <c r="R21" s="62"/>
      <c r="S21" s="62"/>
      <c r="T21" s="62"/>
      <c r="U21" s="62"/>
    </row>
    <row r="22" spans="1:21" s="38" customFormat="1" ht="12.75" hidden="1" customHeight="1">
      <c r="A22" s="814"/>
      <c r="B22" s="815"/>
      <c r="C22" s="815"/>
      <c r="D22" s="815"/>
      <c r="E22" s="816"/>
      <c r="F22" s="816"/>
      <c r="G22" s="816"/>
      <c r="H22" s="816"/>
      <c r="I22" s="60"/>
      <c r="J22" s="60"/>
      <c r="K22" s="60"/>
      <c r="L22" s="60"/>
      <c r="M22" s="60"/>
      <c r="N22" s="60"/>
      <c r="O22" s="60"/>
      <c r="P22" s="60"/>
      <c r="Q22" s="60"/>
      <c r="R22" s="60"/>
      <c r="S22" s="60"/>
      <c r="T22" s="60"/>
      <c r="U22" s="60"/>
    </row>
    <row r="23" spans="1:21" s="38" customFormat="1" ht="12.75" hidden="1" customHeight="1">
      <c r="A23" s="815"/>
      <c r="B23" s="815"/>
      <c r="C23" s="815"/>
      <c r="D23" s="815"/>
      <c r="E23" s="63"/>
      <c r="F23" s="63"/>
      <c r="G23" s="37"/>
      <c r="H23" s="37"/>
      <c r="I23" s="37"/>
      <c r="J23" s="37"/>
      <c r="K23" s="37"/>
      <c r="L23" s="37"/>
      <c r="M23" s="54"/>
      <c r="N23" s="54"/>
      <c r="O23" s="54"/>
      <c r="P23" s="55"/>
      <c r="Q23" s="55"/>
      <c r="R23" s="54"/>
      <c r="S23" s="55"/>
      <c r="T23" s="55"/>
      <c r="U23" s="55"/>
    </row>
    <row r="24" spans="1:21" s="38" customFormat="1" ht="12.75" hidden="1" customHeight="1">
      <c r="A24" s="815"/>
      <c r="B24" s="815"/>
      <c r="C24" s="815"/>
      <c r="D24" s="815"/>
      <c r="E24" s="63"/>
      <c r="F24" s="63"/>
      <c r="G24" s="37"/>
      <c r="H24" s="37"/>
      <c r="I24" s="37"/>
      <c r="J24" s="37"/>
      <c r="K24" s="37"/>
      <c r="L24" s="37"/>
      <c r="M24" s="54"/>
      <c r="N24" s="54"/>
      <c r="O24" s="54"/>
      <c r="P24" s="55"/>
      <c r="Q24" s="55"/>
      <c r="R24" s="54"/>
      <c r="S24" s="55"/>
      <c r="T24" s="55"/>
      <c r="U24" s="55"/>
    </row>
    <row r="25" spans="1:21" s="38" customFormat="1" ht="12.75" hidden="1" customHeight="1">
      <c r="A25" s="265"/>
      <c r="B25" s="265"/>
      <c r="C25" s="265"/>
      <c r="D25" s="265"/>
      <c r="E25" s="63"/>
      <c r="F25" s="63"/>
      <c r="G25" s="37"/>
      <c r="H25" s="37"/>
      <c r="I25" s="37"/>
      <c r="J25" s="37"/>
      <c r="K25" s="37"/>
      <c r="L25" s="37"/>
      <c r="M25" s="54"/>
      <c r="N25" s="54"/>
      <c r="O25" s="54"/>
      <c r="P25" s="126"/>
      <c r="Q25" s="126"/>
      <c r="R25" s="54"/>
      <c r="S25" s="126"/>
      <c r="T25" s="126"/>
      <c r="U25" s="126"/>
    </row>
    <row r="26" spans="1:21" s="38" customFormat="1" ht="12.75" hidden="1" customHeight="1">
      <c r="A26" s="52"/>
      <c r="B26" s="265"/>
      <c r="C26" s="265"/>
      <c r="D26" s="265"/>
      <c r="E26" s="63"/>
      <c r="F26" s="63"/>
      <c r="G26" s="37"/>
      <c r="H26" s="37"/>
      <c r="I26" s="37"/>
      <c r="J26" s="37"/>
      <c r="K26" s="37"/>
      <c r="L26" s="37"/>
      <c r="M26" s="54"/>
      <c r="N26" s="54"/>
      <c r="O26" s="54"/>
      <c r="P26" s="55"/>
      <c r="Q26" s="55"/>
      <c r="R26" s="54"/>
      <c r="S26" s="55"/>
      <c r="T26" s="55"/>
      <c r="U26" s="55"/>
    </row>
    <row r="27" spans="1:21" s="38" customFormat="1" ht="12.75" hidden="1" customHeight="1">
      <c r="A27" s="265"/>
      <c r="B27" s="265"/>
      <c r="C27" s="265"/>
      <c r="D27" s="265"/>
      <c r="E27" s="63"/>
      <c r="F27" s="63"/>
      <c r="G27" s="37"/>
      <c r="H27" s="37"/>
      <c r="I27" s="37"/>
      <c r="J27" s="37"/>
      <c r="K27" s="37"/>
      <c r="L27" s="37"/>
      <c r="M27" s="54"/>
      <c r="N27" s="54"/>
      <c r="O27" s="54"/>
      <c r="P27" s="55"/>
      <c r="Q27" s="55"/>
      <c r="R27" s="54"/>
      <c r="S27" s="55"/>
      <c r="T27" s="55"/>
      <c r="U27" s="55"/>
    </row>
    <row r="28" spans="1:21" s="38" customFormat="1" ht="12.75" hidden="1" customHeight="1">
      <c r="A28" s="248"/>
      <c r="B28" s="265"/>
      <c r="C28" s="265"/>
      <c r="D28" s="265"/>
      <c r="E28" s="63"/>
      <c r="F28" s="63"/>
      <c r="G28" s="37"/>
      <c r="H28" s="37"/>
      <c r="I28" s="37"/>
      <c r="J28" s="37"/>
      <c r="K28" s="37"/>
      <c r="L28" s="37"/>
      <c r="M28" s="54"/>
      <c r="N28" s="54"/>
      <c r="O28" s="54"/>
      <c r="P28" s="55"/>
      <c r="Q28" s="55"/>
      <c r="R28" s="54"/>
      <c r="S28" s="55"/>
      <c r="T28" s="55"/>
      <c r="U28" s="55"/>
    </row>
    <row r="29" spans="1:21" s="38" customFormat="1" ht="6" hidden="1" customHeight="1">
      <c r="A29" s="265"/>
      <c r="B29" s="265"/>
      <c r="C29" s="265"/>
      <c r="D29" s="265"/>
      <c r="E29" s="63"/>
      <c r="F29" s="63"/>
      <c r="G29" s="37"/>
      <c r="H29" s="37"/>
      <c r="I29" s="37"/>
      <c r="J29" s="37"/>
      <c r="K29" s="37"/>
      <c r="L29" s="37"/>
      <c r="M29" s="54"/>
      <c r="N29" s="54"/>
      <c r="O29" s="54"/>
      <c r="P29" s="55"/>
      <c r="Q29" s="55"/>
      <c r="R29" s="54"/>
      <c r="S29" s="55"/>
      <c r="T29" s="55"/>
      <c r="U29" s="55"/>
    </row>
    <row r="30" spans="1:21" s="38" customFormat="1" ht="12.75" hidden="1" customHeight="1">
      <c r="A30" s="265"/>
      <c r="B30" s="265"/>
      <c r="C30" s="265"/>
      <c r="D30" s="265"/>
      <c r="E30" s="63"/>
      <c r="F30" s="63"/>
      <c r="G30" s="37"/>
      <c r="H30" s="37"/>
      <c r="I30" s="37"/>
      <c r="J30" s="37"/>
      <c r="K30" s="37"/>
      <c r="L30" s="37"/>
      <c r="M30" s="54"/>
      <c r="N30" s="54"/>
      <c r="O30" s="54"/>
      <c r="P30" s="55"/>
      <c r="Q30" s="55"/>
      <c r="R30" s="54"/>
      <c r="S30" s="55"/>
      <c r="T30" s="55"/>
      <c r="U30" s="55"/>
    </row>
    <row r="31" spans="1:21" ht="12.75" hidden="1">
      <c r="A31" s="813"/>
      <c r="B31" s="813"/>
      <c r="C31" s="813"/>
      <c r="D31" s="813"/>
    </row>
    <row r="32" spans="1:21" hidden="1">
      <c r="A32" s="48"/>
      <c r="B32" s="64"/>
      <c r="C32" s="64"/>
      <c r="D32" s="64"/>
    </row>
    <row r="33" spans="1:4" hidden="1">
      <c r="A33" s="48"/>
      <c r="B33" s="64"/>
      <c r="C33" s="64"/>
      <c r="D33" s="64"/>
    </row>
    <row r="34" spans="1:4" hidden="1">
      <c r="A34" s="48"/>
      <c r="B34" s="64"/>
      <c r="C34" s="64"/>
      <c r="D34" s="64"/>
    </row>
    <row r="35" spans="1:4" hidden="1">
      <c r="A35" s="48"/>
      <c r="B35" s="64"/>
      <c r="C35" s="64"/>
      <c r="D35" s="64"/>
    </row>
    <row r="36" spans="1:4" hidden="1">
      <c r="A36" s="48"/>
      <c r="B36" s="64"/>
      <c r="C36" s="64"/>
      <c r="D36" s="64"/>
    </row>
    <row r="37" spans="1:4" hidden="1">
      <c r="A37" s="48"/>
      <c r="B37" s="64"/>
      <c r="C37" s="64"/>
      <c r="D37" s="64"/>
    </row>
    <row r="38" spans="1:4" hidden="1">
      <c r="A38" s="48"/>
      <c r="B38" s="64"/>
      <c r="C38" s="64"/>
      <c r="D38" s="64"/>
    </row>
    <row r="39" spans="1:4" hidden="1"/>
    <row r="40" spans="1:4" hidden="1"/>
    <row r="41" spans="1:4" hidden="1"/>
    <row r="42" spans="1:4" hidden="1"/>
    <row r="43" spans="1:4" hidden="1"/>
    <row r="44" spans="1:4" hidden="1"/>
    <row r="45" spans="1:4" hidden="1"/>
    <row r="46" spans="1:4" hidden="1"/>
    <row r="47" spans="1:4" hidden="1"/>
    <row r="48" spans="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sheetData>
  <mergeCells count="7">
    <mergeCell ref="A31:D31"/>
    <mergeCell ref="A22:D24"/>
    <mergeCell ref="E22:H22"/>
    <mergeCell ref="A19:D21"/>
    <mergeCell ref="A16:E16"/>
    <mergeCell ref="A17:E17"/>
    <mergeCell ref="A18:E18"/>
  </mergeCells>
  <phoneticPr fontId="26" type="noConversion"/>
  <hyperlinks>
    <hyperlink ref="D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&amp;C10&amp;R&amp;K00-046Banco Volkswagen S.A.
Rua Volkswagen, nº 291
São Paulo - SP - Brazil
Tel: +55 11 5582 5591
TESOU-ABS@vwfs.com</oddFooter>
  </headerFooter>
  <ignoredErrors>
    <ignoredError sqref="C11" calculatedColumn="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6" tint="-0.499984740745262"/>
    <pageSetUpPr fitToPage="1"/>
  </sheetPr>
  <dimension ref="A1:O82"/>
  <sheetViews>
    <sheetView showGridLines="0" zoomScale="85" zoomScaleNormal="85" zoomScaleSheetLayoutView="100" workbookViewId="0">
      <selection activeCell="B24" sqref="B24"/>
    </sheetView>
  </sheetViews>
  <sheetFormatPr defaultColWidth="0" defaultRowHeight="12" zeroHeight="1"/>
  <cols>
    <col min="1" max="1" width="54.28515625" style="47" bestFit="1" customWidth="1"/>
    <col min="2" max="2" width="29.5703125" style="50" customWidth="1"/>
    <col min="3" max="3" width="20.42578125" style="47" hidden="1" customWidth="1"/>
    <col min="4" max="4" width="0.7109375" style="47" customWidth="1"/>
    <col min="5" max="5" width="11.42578125" style="47" hidden="1" customWidth="1"/>
    <col min="6" max="6" width="11.85546875" style="47" hidden="1" customWidth="1"/>
    <col min="7" max="7" width="21.7109375" style="47" hidden="1" customWidth="1"/>
    <col min="8" max="8" width="14.7109375" style="47" hidden="1" customWidth="1"/>
    <col min="9" max="10" width="11.42578125" style="47" hidden="1" customWidth="1"/>
    <col min="11" max="11" width="11.7109375" style="47" hidden="1" customWidth="1"/>
    <col min="12" max="12" width="11.42578125" style="47" hidden="1" customWidth="1"/>
    <col min="13" max="13" width="11.85546875" style="47" hidden="1" customWidth="1"/>
    <col min="14" max="14" width="21.7109375" style="47" hidden="1" customWidth="1"/>
    <col min="15" max="15" width="14.7109375" style="47" hidden="1" customWidth="1"/>
    <col min="16" max="16384" width="11.42578125" style="47" hidden="1"/>
  </cols>
  <sheetData>
    <row r="1" spans="1:3" ht="14.25" customHeight="1">
      <c r="A1" s="138"/>
      <c r="B1" s="267" t="str">
        <f>CONCATENATE("Publication Date: ",TEXT(Input!B7,"DD.MM.AAAA"))</f>
        <v>Publication Date: Information Date:</v>
      </c>
      <c r="C1" s="267" t="str">
        <f>CONCATENATE("Publication Date: ",TEXT(Input!C7,"DD.MM.AAAA"))</f>
        <v>Publication Date: 05.03.2020</v>
      </c>
    </row>
    <row r="2" spans="1:3" ht="14.25" customHeight="1">
      <c r="A2" s="131"/>
      <c r="B2" s="134" t="str">
        <f>CONCATENATE("Period: ",TEXT(Input!$C$5,"MM.AAAA")," / Period No. ",Input!$C$6)</f>
        <v>Period: 02.2020 / Period No. 9</v>
      </c>
      <c r="C2" s="134" t="str">
        <f>CONCATENATE("Period: ",TEXT(Input!$C$5,"MM.AAAA")," / Period No. ",Input!$C$6)</f>
        <v>Period: 02.2020 / Period No. 9</v>
      </c>
    </row>
    <row r="3" spans="1:3" ht="14.25" customHeight="1">
      <c r="A3" s="131"/>
      <c r="B3" s="380" t="s">
        <v>236</v>
      </c>
      <c r="C3" s="380" t="s">
        <v>236</v>
      </c>
    </row>
    <row r="4" spans="1:3" ht="12" customHeight="1">
      <c r="A4" s="64"/>
      <c r="B4" s="212"/>
      <c r="C4" s="211"/>
    </row>
    <row r="5" spans="1:3" ht="15.75" customHeight="1">
      <c r="A5" s="52" t="s">
        <v>166</v>
      </c>
      <c r="B5" s="52"/>
      <c r="C5" s="51"/>
    </row>
    <row r="6" spans="1:3" s="38" customFormat="1" ht="15">
      <c r="A6" s="122"/>
      <c r="B6" s="56"/>
      <c r="C6" s="37"/>
    </row>
    <row r="7" spans="1:3" s="37" customFormat="1" ht="12.75">
      <c r="A7" s="37" t="s">
        <v>31</v>
      </c>
      <c r="B7" s="76" t="s">
        <v>333</v>
      </c>
      <c r="C7" s="76" t="s">
        <v>334</v>
      </c>
    </row>
    <row r="8" spans="1:3" s="37" customFormat="1" ht="12.75" customHeight="1">
      <c r="A8" s="246" t="s">
        <v>32</v>
      </c>
      <c r="B8" s="501">
        <f>Input!C30</f>
        <v>1000000000</v>
      </c>
      <c r="C8" s="502">
        <f>Input!C31</f>
        <v>0</v>
      </c>
    </row>
    <row r="9" spans="1:3" s="37" customFormat="1" ht="12.75" customHeight="1">
      <c r="A9" s="246" t="s">
        <v>33</v>
      </c>
      <c r="B9" s="501">
        <f>+'Notes II'!C20</f>
        <v>634870325.07982266</v>
      </c>
      <c r="C9" s="502">
        <f>+'Notes II'!D20</f>
        <v>0</v>
      </c>
    </row>
    <row r="10" spans="1:3" s="83" customFormat="1" ht="13.5" customHeight="1">
      <c r="A10" s="246" t="s">
        <v>34</v>
      </c>
      <c r="B10" s="326" t="s">
        <v>35</v>
      </c>
      <c r="C10" s="326" t="s">
        <v>35</v>
      </c>
    </row>
    <row r="11" spans="1:3" s="83" customFormat="1" ht="12.75">
      <c r="A11" s="246" t="s">
        <v>36</v>
      </c>
      <c r="B11" s="326" t="s">
        <v>37</v>
      </c>
      <c r="C11" s="326" t="s">
        <v>37</v>
      </c>
    </row>
    <row r="12" spans="1:3" s="37" customFormat="1" ht="12.75" customHeight="1">
      <c r="B12" s="53"/>
    </row>
    <row r="13" spans="1:3" ht="12.75">
      <c r="A13" s="372" t="s">
        <v>38</v>
      </c>
      <c r="B13" s="506" t="s">
        <v>312</v>
      </c>
      <c r="C13" s="503" t="s">
        <v>311</v>
      </c>
    </row>
    <row r="14" spans="1:3" ht="12.75">
      <c r="A14" s="246" t="s">
        <v>39</v>
      </c>
      <c r="B14" s="502">
        <v>67251901.333986893</v>
      </c>
      <c r="C14" s="504"/>
    </row>
    <row r="15" spans="1:3" ht="12.75">
      <c r="A15" s="246" t="s">
        <v>340</v>
      </c>
      <c r="B15" s="502">
        <v>-171759.98</v>
      </c>
      <c r="C15" s="504"/>
    </row>
    <row r="16" spans="1:3" ht="12.75">
      <c r="A16" s="246" t="s">
        <v>341</v>
      </c>
      <c r="B16" s="502">
        <v>-863463.43000006676</v>
      </c>
      <c r="C16" s="504"/>
    </row>
    <row r="17" spans="1:3" ht="12.75">
      <c r="A17" s="246" t="s">
        <v>342</v>
      </c>
      <c r="B17" s="502">
        <v>-2729696.65017736</v>
      </c>
      <c r="C17" s="504"/>
    </row>
    <row r="18" spans="1:3" ht="12.75">
      <c r="A18" s="246" t="s">
        <v>343</v>
      </c>
      <c r="B18" s="502">
        <v>0</v>
      </c>
      <c r="C18" s="504"/>
    </row>
    <row r="19" spans="1:3" ht="12.75">
      <c r="A19" s="389" t="s">
        <v>344</v>
      </c>
      <c r="B19" s="502">
        <v>-10935935.059800001</v>
      </c>
      <c r="C19" s="505"/>
    </row>
    <row r="20" spans="1:3" ht="12.75">
      <c r="A20" s="389" t="s">
        <v>345</v>
      </c>
      <c r="B20" s="502">
        <v>-47200000</v>
      </c>
      <c r="C20" s="505"/>
    </row>
    <row r="21" spans="1:3" ht="12.75">
      <c r="A21" s="389" t="s">
        <v>346</v>
      </c>
      <c r="B21" s="611">
        <v>0</v>
      </c>
      <c r="C21" s="505"/>
    </row>
    <row r="22" spans="1:3" ht="12.75">
      <c r="A22" s="389" t="s">
        <v>347</v>
      </c>
      <c r="B22" s="611">
        <v>-5351000</v>
      </c>
      <c r="C22" s="505"/>
    </row>
    <row r="23" spans="1:3" ht="12.75">
      <c r="A23" s="389" t="s">
        <v>348</v>
      </c>
      <c r="B23" s="611">
        <v>-46.214009471237603</v>
      </c>
      <c r="C23" s="505"/>
    </row>
    <row r="24" spans="1:3" ht="12.75">
      <c r="A24" s="372" t="s">
        <v>349</v>
      </c>
      <c r="B24" s="678">
        <f>SUBTOTAL(109,B14:B23)</f>
        <v>5.6843418860808015E-14</v>
      </c>
      <c r="C24" s="503"/>
    </row>
    <row r="25" spans="1:3"/>
    <row r="26" spans="1:3" hidden="1"/>
    <row r="27" spans="1:3" hidden="1"/>
    <row r="28" spans="1:3" hidden="1"/>
    <row r="29" spans="1:3" hidden="1"/>
    <row r="30" spans="1:3" hidden="1"/>
    <row r="31" spans="1:3" hidden="1"/>
    <row r="32" spans="1: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sheetData>
  <phoneticPr fontId="26" type="noConversion"/>
  <hyperlinks>
    <hyperlink ref="C3" location="Index!A1" display="Index"/>
    <hyperlink ref="B3" location="Index!A1" display="Index"/>
  </hyperlinks>
  <printOptions horizontalCentered="1"/>
  <pageMargins left="0.74803149606299213" right="0.78740157480314965" top="0.47244094488188981" bottom="0.51181102362204722" header="0.51181102362204722" footer="0.51181102362204722"/>
  <pageSetup paperSize="9" orientation="landscape" r:id="rId1"/>
  <headerFooter alignWithMargins="0">
    <oddFooter>&amp;C11&amp;R&amp;K00-044Banco Volkswagen S.A.
Rua Volkswagen, nº 291
São Paulo - SP - Brazil
Tel: +55 11 5582 5591
TESOU-ABS@vwfs.com</oddFooter>
  </headerFooter>
  <ignoredErrors>
    <ignoredError sqref="B24 B18 B21" calculatedColumn="1"/>
  </ignoredErrors>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6" tint="-0.499984740745262"/>
    <pageSetUpPr fitToPage="1"/>
  </sheetPr>
  <dimension ref="A1:O73"/>
  <sheetViews>
    <sheetView showGridLines="0" zoomScale="85" zoomScaleNormal="85" zoomScaleSheetLayoutView="100" workbookViewId="0">
      <selection activeCell="B10" sqref="B10"/>
    </sheetView>
  </sheetViews>
  <sheetFormatPr defaultColWidth="0" defaultRowHeight="12" zeroHeight="1"/>
  <cols>
    <col min="1" max="2" width="21.28515625" style="50" customWidth="1"/>
    <col min="3" max="3" width="21.28515625" style="47" customWidth="1"/>
    <col min="4" max="4" width="0.5703125" style="47" customWidth="1"/>
    <col min="5" max="5" width="14.85546875" style="47" hidden="1" customWidth="1"/>
    <col min="6" max="6" width="15.85546875" style="47" hidden="1" customWidth="1"/>
    <col min="7" max="7" width="14.85546875" style="47" hidden="1" customWidth="1"/>
    <col min="8" max="8" width="15.85546875" style="47" hidden="1" customWidth="1"/>
    <col min="9" max="15" width="14.85546875" style="47" hidden="1" customWidth="1"/>
    <col min="16" max="16384" width="11.42578125" style="47" hidden="1"/>
  </cols>
  <sheetData>
    <row r="1" spans="1:8" ht="14.25" customHeight="1">
      <c r="A1" s="218"/>
      <c r="B1" s="132"/>
      <c r="C1" s="551" t="str">
        <f>CONCATENATE("Publication Date: ",TEXT(Input!C7,"DD.MM.AAAA"))</f>
        <v>Publication Date: 05.03.2020</v>
      </c>
      <c r="D1" s="114"/>
    </row>
    <row r="2" spans="1:8" ht="14.25" customHeight="1">
      <c r="A2" s="218"/>
      <c r="B2" s="132"/>
      <c r="C2" s="134" t="str">
        <f>CONCATENATE("Period: ",TEXT(Input!$C$5,"MM.AAAA")," / Period No. ",Input!$C$6)</f>
        <v>Period: 02.2020 / Period No. 9</v>
      </c>
      <c r="D2" s="117"/>
    </row>
    <row r="3" spans="1:8" ht="14.25" customHeight="1">
      <c r="A3" s="218"/>
      <c r="B3" s="132"/>
      <c r="C3" s="384" t="s">
        <v>236</v>
      </c>
      <c r="D3" s="268"/>
    </row>
    <row r="4" spans="1:8" ht="12" customHeight="1">
      <c r="A4" s="212"/>
      <c r="B4" s="212"/>
      <c r="C4" s="227"/>
      <c r="D4" s="350"/>
    </row>
    <row r="5" spans="1:8" ht="15.75" customHeight="1">
      <c r="A5" s="52" t="s">
        <v>505</v>
      </c>
      <c r="B5" s="52"/>
      <c r="C5" s="37"/>
      <c r="D5" s="351"/>
    </row>
    <row r="6" spans="1:8" ht="15" customHeight="1">
      <c r="A6" s="52"/>
      <c r="B6" s="52"/>
      <c r="C6" s="52"/>
      <c r="D6" s="64"/>
    </row>
    <row r="7" spans="1:8" ht="21.75" customHeight="1">
      <c r="A7" s="52"/>
      <c r="B7" s="612" t="s">
        <v>333</v>
      </c>
      <c r="C7" s="612" t="s">
        <v>334</v>
      </c>
      <c r="D7" s="64"/>
    </row>
    <row r="8" spans="1:8" ht="12.75">
      <c r="A8" s="274" t="s">
        <v>239</v>
      </c>
      <c r="B8" s="269" t="s">
        <v>237</v>
      </c>
      <c r="C8" s="269" t="s">
        <v>238</v>
      </c>
      <c r="D8" s="269"/>
      <c r="F8" s="64"/>
    </row>
    <row r="9" spans="1:8" s="65" customFormat="1" ht="14.1" customHeight="1">
      <c r="A9" s="275" t="s">
        <v>40</v>
      </c>
      <c r="B9" s="103">
        <v>1000000000</v>
      </c>
      <c r="C9" s="103">
        <v>0</v>
      </c>
      <c r="D9" s="373"/>
      <c r="F9" s="66"/>
      <c r="G9" s="102"/>
      <c r="H9" s="101"/>
    </row>
    <row r="10" spans="1:8" s="65" customFormat="1" ht="14.1" customHeight="1">
      <c r="A10" s="275">
        <f>EOMONTH('Reporting Details'!B11,-1)+1</f>
        <v>43647</v>
      </c>
      <c r="B10" s="103">
        <v>1000000000</v>
      </c>
      <c r="C10" s="103">
        <v>0</v>
      </c>
      <c r="D10" s="373"/>
      <c r="F10" s="107"/>
      <c r="G10" s="102"/>
      <c r="H10" s="101"/>
    </row>
    <row r="11" spans="1:8" s="65" customFormat="1" ht="14.1" customHeight="1">
      <c r="A11" s="275">
        <f t="shared" ref="A11:A57" si="0">EDATE(A10,1)</f>
        <v>43678</v>
      </c>
      <c r="B11" s="103">
        <v>958677825.05309355</v>
      </c>
      <c r="C11" s="103">
        <v>0</v>
      </c>
      <c r="D11" s="373"/>
      <c r="F11" s="107"/>
      <c r="G11" s="102"/>
      <c r="H11" s="101"/>
    </row>
    <row r="12" spans="1:8" s="65" customFormat="1" ht="14.1" customHeight="1">
      <c r="A12" s="275">
        <f t="shared" si="0"/>
        <v>43709</v>
      </c>
      <c r="B12" s="103">
        <v>894048325.03999996</v>
      </c>
      <c r="C12" s="103">
        <v>0</v>
      </c>
      <c r="D12" s="373"/>
      <c r="F12" s="107"/>
      <c r="G12" s="102"/>
      <c r="H12" s="101"/>
    </row>
    <row r="13" spans="1:8" s="65" customFormat="1" ht="14.1" customHeight="1">
      <c r="A13" s="275">
        <f t="shared" si="0"/>
        <v>43739</v>
      </c>
      <c r="B13" s="103">
        <v>835370325.07000005</v>
      </c>
      <c r="C13" s="103">
        <v>0</v>
      </c>
      <c r="D13" s="373"/>
      <c r="F13" s="107"/>
      <c r="G13" s="102"/>
      <c r="H13" s="101"/>
    </row>
    <row r="14" spans="1:8" s="65" customFormat="1" ht="14.1" customHeight="1">
      <c r="A14" s="275">
        <f t="shared" si="0"/>
        <v>43770</v>
      </c>
      <c r="B14" s="103">
        <v>779070325.07000005</v>
      </c>
      <c r="C14" s="103">
        <v>0</v>
      </c>
      <c r="D14" s="373"/>
      <c r="F14" s="107"/>
      <c r="G14" s="102"/>
      <c r="H14" s="101"/>
    </row>
    <row r="15" spans="1:8" s="65" customFormat="1" ht="14.1" customHeight="1">
      <c r="A15" s="275">
        <f t="shared" si="0"/>
        <v>43800</v>
      </c>
      <c r="B15" s="103">
        <v>730570325.08000004</v>
      </c>
      <c r="C15" s="103">
        <v>0</v>
      </c>
      <c r="D15" s="373"/>
      <c r="F15" s="107"/>
      <c r="G15" s="102"/>
      <c r="H15" s="101"/>
    </row>
    <row r="16" spans="1:8" s="65" customFormat="1" ht="14.1" customHeight="1">
      <c r="A16" s="275">
        <f t="shared" si="0"/>
        <v>43831</v>
      </c>
      <c r="B16" s="103">
        <v>682070325.08000004</v>
      </c>
      <c r="C16" s="103">
        <v>0</v>
      </c>
      <c r="D16" s="373"/>
      <c r="F16" s="107"/>
      <c r="G16" s="102"/>
      <c r="H16" s="101"/>
    </row>
    <row r="17" spans="1:8" s="65" customFormat="1" ht="14.1" customHeight="1">
      <c r="A17" s="275">
        <f t="shared" si="0"/>
        <v>43862</v>
      </c>
      <c r="B17" s="103">
        <v>634870325.08000004</v>
      </c>
      <c r="C17" s="103">
        <v>0</v>
      </c>
      <c r="D17" s="373"/>
      <c r="F17" s="107"/>
      <c r="G17" s="102"/>
      <c r="H17" s="101"/>
    </row>
    <row r="18" spans="1:8" s="65" customFormat="1" ht="14.1" customHeight="1">
      <c r="A18" s="275">
        <f t="shared" si="0"/>
        <v>43891</v>
      </c>
      <c r="B18" s="103">
        <v>593470325.07929742</v>
      </c>
      <c r="C18" s="103">
        <v>0</v>
      </c>
      <c r="D18" s="373"/>
      <c r="F18" s="107"/>
      <c r="G18" s="102"/>
      <c r="H18" s="101"/>
    </row>
    <row r="19" spans="1:8" s="65" customFormat="1" ht="14.1" customHeight="1">
      <c r="A19" s="275">
        <f t="shared" si="0"/>
        <v>43922</v>
      </c>
      <c r="B19" s="103">
        <v>552765485.2700001</v>
      </c>
      <c r="C19" s="103">
        <v>0</v>
      </c>
      <c r="D19" s="373"/>
      <c r="F19" s="107"/>
      <c r="G19" s="102"/>
      <c r="H19" s="101"/>
    </row>
    <row r="20" spans="1:8" s="65" customFormat="1" ht="14.1" customHeight="1">
      <c r="A20" s="275">
        <f t="shared" si="0"/>
        <v>43952</v>
      </c>
      <c r="B20" s="103">
        <v>513102830.27000016</v>
      </c>
      <c r="C20" s="103">
        <v>0</v>
      </c>
      <c r="D20" s="373"/>
      <c r="F20" s="107"/>
      <c r="G20" s="102"/>
      <c r="H20" s="101"/>
    </row>
    <row r="21" spans="1:8" s="65" customFormat="1" ht="14.1" customHeight="1">
      <c r="A21" s="275">
        <f t="shared" si="0"/>
        <v>43983</v>
      </c>
      <c r="B21" s="103">
        <v>474468841.5800001</v>
      </c>
      <c r="C21" s="103">
        <v>0</v>
      </c>
      <c r="D21" s="373"/>
      <c r="F21" s="107"/>
      <c r="G21" s="102"/>
      <c r="H21" s="101"/>
    </row>
    <row r="22" spans="1:8" s="65" customFormat="1" ht="14.1" customHeight="1">
      <c r="A22" s="275">
        <f t="shared" si="0"/>
        <v>44013</v>
      </c>
      <c r="B22" s="103">
        <v>436709035.06000012</v>
      </c>
      <c r="C22" s="103">
        <v>0</v>
      </c>
      <c r="D22" s="373"/>
      <c r="F22" s="107"/>
      <c r="G22" s="102"/>
      <c r="H22" s="101"/>
    </row>
    <row r="23" spans="1:8" s="65" customFormat="1" ht="14.1" customHeight="1">
      <c r="A23" s="275">
        <f t="shared" si="0"/>
        <v>44044</v>
      </c>
      <c r="B23" s="103">
        <v>400498301.8300001</v>
      </c>
      <c r="C23" s="103">
        <v>0</v>
      </c>
      <c r="D23" s="373"/>
      <c r="F23" s="107"/>
      <c r="G23" s="102"/>
      <c r="H23" s="101"/>
    </row>
    <row r="24" spans="1:8" s="65" customFormat="1" ht="14.1" customHeight="1">
      <c r="A24" s="275">
        <f t="shared" si="0"/>
        <v>44075</v>
      </c>
      <c r="B24" s="103">
        <v>366064626.76000011</v>
      </c>
      <c r="C24" s="103">
        <v>0</v>
      </c>
      <c r="D24" s="373"/>
      <c r="F24" s="107"/>
      <c r="G24" s="102"/>
      <c r="H24" s="101"/>
    </row>
    <row r="25" spans="1:8" s="65" customFormat="1" ht="14.1" customHeight="1">
      <c r="A25" s="275">
        <f t="shared" si="0"/>
        <v>44105</v>
      </c>
      <c r="B25" s="103">
        <v>333501480.56000012</v>
      </c>
      <c r="C25" s="103">
        <v>0</v>
      </c>
      <c r="D25" s="373"/>
      <c r="F25" s="107"/>
      <c r="G25" s="102"/>
      <c r="H25" s="101"/>
    </row>
    <row r="26" spans="1:8" s="65" customFormat="1" ht="14.1" customHeight="1">
      <c r="A26" s="275">
        <f t="shared" si="0"/>
        <v>44136</v>
      </c>
      <c r="B26" s="103">
        <v>302906966.74000013</v>
      </c>
      <c r="C26" s="103">
        <v>0</v>
      </c>
      <c r="D26" s="373"/>
      <c r="F26" s="107"/>
      <c r="G26" s="102"/>
      <c r="H26" s="101"/>
    </row>
    <row r="27" spans="1:8" s="65" customFormat="1" ht="14.1" customHeight="1">
      <c r="A27" s="275">
        <f t="shared" si="0"/>
        <v>44166</v>
      </c>
      <c r="B27" s="103">
        <v>274184036.91000015</v>
      </c>
      <c r="C27" s="103">
        <v>0</v>
      </c>
      <c r="D27" s="373"/>
      <c r="F27" s="107"/>
      <c r="G27" s="102"/>
      <c r="H27" s="101"/>
    </row>
    <row r="28" spans="1:8" s="65" customFormat="1" ht="14.1" customHeight="1">
      <c r="A28" s="275">
        <f t="shared" si="0"/>
        <v>44197</v>
      </c>
      <c r="B28" s="103">
        <v>247655081.37000015</v>
      </c>
      <c r="C28" s="103">
        <v>0</v>
      </c>
      <c r="D28" s="373"/>
      <c r="F28" s="107"/>
      <c r="G28" s="102"/>
      <c r="H28" s="101"/>
    </row>
    <row r="29" spans="1:8" s="65" customFormat="1" ht="14.1" customHeight="1">
      <c r="A29" s="275">
        <f t="shared" si="0"/>
        <v>44228</v>
      </c>
      <c r="B29" s="103">
        <v>223104615.01000014</v>
      </c>
      <c r="C29" s="103">
        <v>0</v>
      </c>
      <c r="D29" s="373"/>
      <c r="F29" s="107"/>
      <c r="G29" s="102"/>
      <c r="H29" s="101"/>
    </row>
    <row r="30" spans="1:8" s="65" customFormat="1" ht="14.1" customHeight="1">
      <c r="A30" s="275">
        <f t="shared" si="0"/>
        <v>44256</v>
      </c>
      <c r="B30" s="103">
        <v>200496894.08000013</v>
      </c>
      <c r="C30" s="103">
        <v>0</v>
      </c>
      <c r="D30" s="373"/>
      <c r="F30" s="107"/>
      <c r="G30" s="102"/>
      <c r="H30" s="101"/>
    </row>
    <row r="31" spans="1:8" s="65" customFormat="1" ht="14.1" customHeight="1">
      <c r="A31" s="275">
        <f t="shared" si="0"/>
        <v>44287</v>
      </c>
      <c r="B31" s="103">
        <v>179906954.73000014</v>
      </c>
      <c r="C31" s="103">
        <v>0</v>
      </c>
      <c r="D31" s="373"/>
      <c r="F31" s="107"/>
      <c r="G31" s="102"/>
      <c r="H31" s="101"/>
    </row>
    <row r="32" spans="1:8" s="65" customFormat="1" ht="14.1" customHeight="1">
      <c r="A32" s="275">
        <f t="shared" si="0"/>
        <v>44317</v>
      </c>
      <c r="B32" s="103">
        <v>161498573.41000015</v>
      </c>
      <c r="C32" s="103">
        <v>0</v>
      </c>
      <c r="D32" s="373"/>
      <c r="F32" s="107"/>
      <c r="G32" s="102"/>
      <c r="H32" s="101"/>
    </row>
    <row r="33" spans="1:8" s="65" customFormat="1" ht="14.1" customHeight="1">
      <c r="A33" s="275">
        <f t="shared" si="0"/>
        <v>44348</v>
      </c>
      <c r="B33" s="103">
        <v>143652686.72000015</v>
      </c>
      <c r="C33" s="103">
        <v>0</v>
      </c>
      <c r="D33" s="373"/>
      <c r="F33" s="107"/>
      <c r="G33" s="102"/>
      <c r="H33" s="101"/>
    </row>
    <row r="34" spans="1:8" s="65" customFormat="1" ht="14.1" customHeight="1">
      <c r="A34" s="275">
        <f t="shared" si="0"/>
        <v>44378</v>
      </c>
      <c r="B34" s="103">
        <v>126455325.63000013</v>
      </c>
      <c r="C34" s="103">
        <v>0</v>
      </c>
      <c r="D34" s="373"/>
      <c r="F34" s="107"/>
      <c r="G34" s="102"/>
      <c r="H34" s="101"/>
    </row>
    <row r="35" spans="1:8" s="65" customFormat="1" ht="14.1" customHeight="1">
      <c r="A35" s="275">
        <f t="shared" si="0"/>
        <v>44409</v>
      </c>
      <c r="B35" s="103">
        <v>110028653.05000013</v>
      </c>
      <c r="C35" s="103">
        <v>0</v>
      </c>
      <c r="D35" s="373"/>
      <c r="F35" s="107"/>
      <c r="G35" s="102"/>
      <c r="H35" s="101"/>
    </row>
    <row r="36" spans="1:8" s="65" customFormat="1" ht="14.1" customHeight="1">
      <c r="A36" s="275">
        <f t="shared" si="0"/>
        <v>44440</v>
      </c>
      <c r="B36" s="103">
        <v>0</v>
      </c>
      <c r="C36" s="103">
        <v>0</v>
      </c>
      <c r="D36" s="373"/>
      <c r="F36" s="107"/>
      <c r="G36" s="102"/>
      <c r="H36" s="101"/>
    </row>
    <row r="37" spans="1:8" s="65" customFormat="1" ht="14.1" customHeight="1">
      <c r="A37" s="275">
        <f t="shared" si="0"/>
        <v>44470</v>
      </c>
      <c r="B37" s="103">
        <v>0</v>
      </c>
      <c r="C37" s="103">
        <v>0</v>
      </c>
      <c r="D37" s="373"/>
      <c r="F37" s="107"/>
      <c r="G37" s="102"/>
      <c r="H37" s="101"/>
    </row>
    <row r="38" spans="1:8" s="65" customFormat="1" ht="14.1" customHeight="1">
      <c r="A38" s="275">
        <f t="shared" si="0"/>
        <v>44501</v>
      </c>
      <c r="B38" s="103">
        <v>0</v>
      </c>
      <c r="C38" s="103">
        <v>0</v>
      </c>
      <c r="D38" s="373"/>
      <c r="F38" s="107"/>
      <c r="G38" s="102"/>
      <c r="H38" s="101"/>
    </row>
    <row r="39" spans="1:8" s="65" customFormat="1" ht="14.1" customHeight="1">
      <c r="A39" s="275">
        <f t="shared" si="0"/>
        <v>44531</v>
      </c>
      <c r="B39" s="103">
        <v>0</v>
      </c>
      <c r="C39" s="103">
        <v>0</v>
      </c>
      <c r="D39" s="373"/>
      <c r="F39" s="107"/>
    </row>
    <row r="40" spans="1:8" s="65" customFormat="1" ht="14.1" customHeight="1">
      <c r="A40" s="275">
        <f t="shared" si="0"/>
        <v>44562</v>
      </c>
      <c r="B40" s="103">
        <v>0</v>
      </c>
      <c r="C40" s="103">
        <v>0</v>
      </c>
      <c r="D40" s="373"/>
      <c r="F40" s="107"/>
    </row>
    <row r="41" spans="1:8" s="65" customFormat="1" ht="13.5" customHeight="1">
      <c r="A41" s="275">
        <f t="shared" si="0"/>
        <v>44593</v>
      </c>
      <c r="B41" s="103">
        <v>0</v>
      </c>
      <c r="C41" s="103">
        <v>0</v>
      </c>
      <c r="D41" s="373"/>
      <c r="F41" s="107"/>
    </row>
    <row r="42" spans="1:8" s="65" customFormat="1" ht="13.5" customHeight="1">
      <c r="A42" s="275">
        <f t="shared" si="0"/>
        <v>44621</v>
      </c>
      <c r="B42" s="103">
        <v>0</v>
      </c>
      <c r="C42" s="103">
        <v>0</v>
      </c>
      <c r="D42" s="373"/>
      <c r="F42" s="107"/>
    </row>
    <row r="43" spans="1:8" s="65" customFormat="1" ht="13.5" customHeight="1">
      <c r="A43" s="275">
        <f>EDATE(A42,1)</f>
        <v>44652</v>
      </c>
      <c r="B43" s="103">
        <v>0</v>
      </c>
      <c r="C43" s="103">
        <v>0</v>
      </c>
      <c r="D43" s="373"/>
      <c r="F43" s="107"/>
    </row>
    <row r="44" spans="1:8" s="65" customFormat="1" ht="13.5" hidden="1" customHeight="1">
      <c r="A44" s="275">
        <f t="shared" si="0"/>
        <v>44682</v>
      </c>
      <c r="B44" s="103"/>
      <c r="C44" s="103"/>
      <c r="D44" s="373"/>
      <c r="F44" s="107"/>
    </row>
    <row r="45" spans="1:8" ht="12" hidden="1" customHeight="1">
      <c r="A45" s="275">
        <f t="shared" si="0"/>
        <v>44713</v>
      </c>
      <c r="B45" s="103"/>
      <c r="C45" s="103"/>
      <c r="D45" s="64"/>
    </row>
    <row r="46" spans="1:8" ht="12" hidden="1" customHeight="1">
      <c r="A46" s="275">
        <f t="shared" si="0"/>
        <v>44743</v>
      </c>
      <c r="B46" s="103"/>
      <c r="C46" s="103"/>
      <c r="D46" s="64"/>
    </row>
    <row r="47" spans="1:8" ht="12.75" hidden="1">
      <c r="A47" s="275">
        <f t="shared" si="0"/>
        <v>44774</v>
      </c>
      <c r="B47" s="103"/>
      <c r="C47" s="103"/>
      <c r="D47" s="64"/>
    </row>
    <row r="48" spans="1:8" ht="12.75" hidden="1">
      <c r="A48" s="275">
        <f t="shared" si="0"/>
        <v>44805</v>
      </c>
      <c r="B48" s="103"/>
      <c r="C48" s="103"/>
      <c r="D48" s="64"/>
    </row>
    <row r="49" spans="1:4" ht="12.75" hidden="1">
      <c r="A49" s="275">
        <f t="shared" si="0"/>
        <v>44835</v>
      </c>
      <c r="B49" s="103"/>
      <c r="C49" s="103"/>
      <c r="D49" s="64"/>
    </row>
    <row r="50" spans="1:4" ht="12.75" hidden="1">
      <c r="A50" s="275">
        <f t="shared" si="0"/>
        <v>44866</v>
      </c>
      <c r="B50" s="103"/>
      <c r="C50" s="103"/>
      <c r="D50" s="64"/>
    </row>
    <row r="51" spans="1:4" ht="12.75" hidden="1">
      <c r="A51" s="275">
        <f t="shared" si="0"/>
        <v>44896</v>
      </c>
      <c r="B51" s="103"/>
      <c r="C51" s="103"/>
    </row>
    <row r="52" spans="1:4" ht="12.75" hidden="1">
      <c r="A52" s="275">
        <f t="shared" si="0"/>
        <v>44927</v>
      </c>
      <c r="B52" s="103"/>
      <c r="C52" s="103"/>
    </row>
    <row r="53" spans="1:4" ht="12.75" hidden="1">
      <c r="A53" s="275">
        <f t="shared" si="0"/>
        <v>44958</v>
      </c>
      <c r="B53" s="103"/>
      <c r="C53" s="103"/>
    </row>
    <row r="54" spans="1:4" ht="12.75" hidden="1">
      <c r="A54" s="275">
        <f t="shared" si="0"/>
        <v>44986</v>
      </c>
      <c r="B54" s="103"/>
      <c r="C54" s="103"/>
    </row>
    <row r="55" spans="1:4" ht="12.75" hidden="1">
      <c r="A55" s="275">
        <f t="shared" si="0"/>
        <v>45017</v>
      </c>
      <c r="B55" s="103"/>
      <c r="C55" s="103"/>
    </row>
    <row r="56" spans="1:4" ht="12.75" hidden="1">
      <c r="A56" s="275">
        <f t="shared" si="0"/>
        <v>45047</v>
      </c>
      <c r="B56" s="103"/>
      <c r="C56" s="103"/>
    </row>
    <row r="57" spans="1:4" ht="12.75" hidden="1">
      <c r="A57" s="275">
        <f t="shared" si="0"/>
        <v>45078</v>
      </c>
      <c r="B57" s="103"/>
      <c r="C57" s="103"/>
    </row>
    <row r="58" spans="1:4" ht="22.5" customHeight="1">
      <c r="A58" s="820" t="s">
        <v>627</v>
      </c>
      <c r="B58" s="820"/>
      <c r="C58" s="820"/>
    </row>
    <row r="59" spans="1:4" hidden="1"/>
    <row r="60" spans="1:4" hidden="1"/>
    <row r="61" spans="1:4"/>
    <row r="62" spans="1:4" hidden="1"/>
    <row r="63" spans="1:4" hidden="1"/>
    <row r="64" spans="1:4" hidden="1"/>
    <row r="65" hidden="1"/>
    <row r="66" hidden="1"/>
    <row r="67" hidden="1"/>
    <row r="68" hidden="1"/>
    <row r="69" hidden="1"/>
    <row r="70" hidden="1"/>
    <row r="71" hidden="1"/>
    <row r="72" hidden="1"/>
    <row r="73" hidden="1"/>
  </sheetData>
  <mergeCells count="1">
    <mergeCell ref="A58:C58"/>
  </mergeCells>
  <conditionalFormatting sqref="E45:F45">
    <cfRule type="cellIs" dxfId="291" priority="6" stopIfTrue="1" operator="notEqual">
      <formula>0</formula>
    </cfRule>
  </conditionalFormatting>
  <hyperlinks>
    <hyperlink ref="C3" location="Index!A1" display="Index"/>
  </hyperlinks>
  <printOptions horizontalCentered="1" verticalCentered="1"/>
  <pageMargins left="0.74803149606299213" right="0.78740157480314965" top="0.47244094488188981" bottom="0.98425196850393704" header="0.51181102362204722" footer="0.51181102362204722"/>
  <pageSetup paperSize="9" orientation="portrait" r:id="rId1"/>
  <headerFooter alignWithMargins="0">
    <oddFooter>&amp;C12&amp;R&amp;K00-045Banco Volkswagen S.A.
Rua Volkswagen, nº 291
São Paulo - SP - Brazil
Tel: +55 11 5582 5591
TESOU-ABS@vwfs.com</oddFooter>
  </headerFooter>
  <ignoredErrors>
    <ignoredError sqref="A9:A10 C9:C43 B43 B10 B9 B8 B11:B18 B39:B42 B19:B38" calculatedColumn="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6" tint="-0.499984740745262"/>
    <pageSetUpPr fitToPage="1"/>
  </sheetPr>
  <dimension ref="A1:I70"/>
  <sheetViews>
    <sheetView showGridLines="0" zoomScaleNormal="100" zoomScaleSheetLayoutView="100" workbookViewId="0">
      <selection activeCell="A1048576" sqref="A1048576"/>
    </sheetView>
  </sheetViews>
  <sheetFormatPr defaultColWidth="0" defaultRowHeight="12" zeroHeight="1"/>
  <cols>
    <col min="1" max="1" width="92.7109375" style="47" customWidth="1"/>
    <col min="2" max="3" width="3" style="47" hidden="1" customWidth="1"/>
    <col min="4" max="9" width="14.85546875" style="47" hidden="1" customWidth="1"/>
    <col min="10" max="16384" width="11.42578125" style="47" hidden="1"/>
  </cols>
  <sheetData>
    <row r="1" spans="1:2" ht="14.25" customHeight="1">
      <c r="A1" s="134" t="str">
        <f>CONCATENATE("Publication Date: ",TEXT(Input!C7,"DD.MM.AAAA"))</f>
        <v>Publication Date: 05.03.2020</v>
      </c>
      <c r="B1" s="156"/>
    </row>
    <row r="2" spans="1:2" ht="14.25" customHeight="1">
      <c r="A2" s="134" t="str">
        <f>CONCATENATE("Period: ",TEXT(Input!$C$5,"MM.AAAA")," / Period No. ",Input!$C$6)</f>
        <v>Period: 02.2020 / Period No. 9</v>
      </c>
      <c r="B2" s="157"/>
    </row>
    <row r="3" spans="1:2" ht="14.25" customHeight="1">
      <c r="A3" s="380" t="s">
        <v>236</v>
      </c>
      <c r="B3" s="276"/>
    </row>
    <row r="4" spans="1:2" ht="12" customHeight="1">
      <c r="A4" s="64"/>
      <c r="B4" s="64"/>
    </row>
    <row r="5" spans="1:2" ht="15.75" customHeight="1">
      <c r="A5" s="127" t="s">
        <v>56</v>
      </c>
      <c r="B5" s="64"/>
    </row>
    <row r="6" spans="1:2" ht="13.5" customHeight="1">
      <c r="A6" s="64"/>
      <c r="B6" s="64"/>
    </row>
    <row r="7" spans="1:2">
      <c r="A7" s="64"/>
      <c r="B7" s="64"/>
    </row>
    <row r="8" spans="1:2" ht="12" customHeight="1">
      <c r="A8" s="64"/>
      <c r="B8" s="64"/>
    </row>
    <row r="9" spans="1:2" ht="12" customHeight="1">
      <c r="A9" s="64"/>
      <c r="B9" s="64"/>
    </row>
    <row r="10" spans="1:2" ht="12" customHeight="1">
      <c r="A10" s="64"/>
      <c r="B10" s="64"/>
    </row>
    <row r="11" spans="1:2" ht="12" customHeight="1">
      <c r="A11" s="64"/>
      <c r="B11" s="64"/>
    </row>
    <row r="12" spans="1:2" ht="12" customHeight="1">
      <c r="A12" s="64"/>
      <c r="B12" s="64"/>
    </row>
    <row r="13" spans="1:2" ht="12" customHeight="1">
      <c r="A13" s="64"/>
      <c r="B13" s="64"/>
    </row>
    <row r="14" spans="1:2" ht="12" customHeight="1">
      <c r="A14" s="64"/>
      <c r="B14" s="64"/>
    </row>
    <row r="15" spans="1:2" ht="12" customHeight="1">
      <c r="A15" s="64"/>
      <c r="B15" s="64"/>
    </row>
    <row r="16" spans="1:2" ht="12" customHeight="1">
      <c r="A16" s="64"/>
      <c r="B16" s="64"/>
    </row>
    <row r="17" spans="1:2" ht="12" customHeight="1">
      <c r="A17" s="64"/>
      <c r="B17" s="64"/>
    </row>
    <row r="18" spans="1:2" ht="12" customHeight="1">
      <c r="A18" s="64"/>
      <c r="B18" s="64"/>
    </row>
    <row r="19" spans="1:2" ht="12" customHeight="1">
      <c r="A19" s="64"/>
      <c r="B19" s="64"/>
    </row>
    <row r="20" spans="1:2" ht="12" customHeight="1">
      <c r="A20" s="64"/>
      <c r="B20" s="64"/>
    </row>
    <row r="21" spans="1:2" ht="12" customHeight="1">
      <c r="A21" s="64"/>
      <c r="B21" s="64"/>
    </row>
    <row r="22" spans="1:2" ht="12" customHeight="1">
      <c r="A22" s="64"/>
      <c r="B22" s="64"/>
    </row>
    <row r="23" spans="1:2" ht="12" customHeight="1">
      <c r="A23" s="64"/>
      <c r="B23" s="64"/>
    </row>
    <row r="24" spans="1:2" ht="12" customHeight="1">
      <c r="A24" s="64"/>
      <c r="B24" s="64"/>
    </row>
    <row r="25" spans="1:2" ht="12" customHeight="1">
      <c r="A25" s="64"/>
      <c r="B25" s="64"/>
    </row>
    <row r="26" spans="1:2" ht="12" customHeight="1">
      <c r="A26" s="64"/>
      <c r="B26" s="64"/>
    </row>
    <row r="27" spans="1:2" ht="12" customHeight="1">
      <c r="A27" s="64"/>
      <c r="B27" s="64"/>
    </row>
    <row r="28" spans="1:2" ht="12" customHeight="1">
      <c r="A28" s="64"/>
      <c r="B28" s="64"/>
    </row>
    <row r="29" spans="1:2" ht="12" customHeight="1">
      <c r="A29" s="64"/>
      <c r="B29" s="64"/>
    </row>
    <row r="30" spans="1:2" ht="12" customHeight="1">
      <c r="A30" s="64"/>
      <c r="B30" s="64"/>
    </row>
    <row r="31" spans="1:2" ht="12" customHeight="1">
      <c r="A31" s="64"/>
      <c r="B31" s="64"/>
    </row>
    <row r="32" spans="1:2" ht="12" customHeight="1">
      <c r="A32" s="64"/>
      <c r="B32" s="64"/>
    </row>
    <row r="33" spans="1:2" ht="12" customHeight="1">
      <c r="A33" s="64"/>
      <c r="B33" s="64"/>
    </row>
    <row r="34" spans="1:2" ht="12" customHeight="1">
      <c r="A34" s="64"/>
      <c r="B34" s="64"/>
    </row>
    <row r="35" spans="1:2" ht="12" hidden="1" customHeight="1">
      <c r="A35" s="64"/>
      <c r="B35" s="64"/>
    </row>
    <row r="36" spans="1:2" hidden="1">
      <c r="A36" s="64"/>
      <c r="B36" s="64"/>
    </row>
    <row r="37" spans="1:2" hidden="1">
      <c r="A37" s="64"/>
      <c r="B37" s="64"/>
    </row>
    <row r="38" spans="1:2" hidden="1">
      <c r="A38" s="64"/>
      <c r="B38" s="64"/>
    </row>
    <row r="39" spans="1:2" hidden="1">
      <c r="A39" s="64"/>
      <c r="B39" s="64"/>
    </row>
    <row r="40" spans="1:2" hidden="1">
      <c r="A40" s="64"/>
      <c r="B40" s="64"/>
    </row>
    <row r="41" spans="1:2" hidden="1">
      <c r="A41" s="64"/>
      <c r="B41" s="64"/>
    </row>
    <row r="42" spans="1:2" hidden="1">
      <c r="A42" s="64"/>
      <c r="B42" s="64"/>
    </row>
    <row r="43" spans="1:2" hidden="1"/>
    <row r="44" spans="1:2" hidden="1"/>
    <row r="45" spans="1:2" hidden="1"/>
    <row r="46" spans="1:2" hidden="1"/>
    <row r="47" spans="1:2" hidden="1"/>
    <row r="48" spans="1:2"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sheetData>
  <phoneticPr fontId="26" type="noConversion"/>
  <hyperlinks>
    <hyperlink ref="A3" location="Index!A1" display="Index"/>
  </hyperlinks>
  <printOptions horizontalCentered="1"/>
  <pageMargins left="0.70866141732283472" right="0.70866141732283472" top="0.74803149606299213" bottom="1.3385826771653544" header="0.31496062992125984" footer="0.31496062992125984"/>
  <pageSetup paperSize="9" scale="96" orientation="portrait" r:id="rId1"/>
  <headerFooter alignWithMargins="0">
    <oddFooter>&amp;C13&amp;R&amp;K00-046Banco Volkswagen S.A.
Rua Volkswagen, nº 291
São Paulo - SP - Brazil
Tel: +55 11 5582 5591
TESOU-ABS@vwfs.com</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6" tint="-0.499984740745262"/>
    <pageSetUpPr fitToPage="1"/>
  </sheetPr>
  <dimension ref="A1:L133"/>
  <sheetViews>
    <sheetView showGridLines="0" topLeftCell="A16" zoomScale="85" zoomScaleNormal="85" zoomScaleSheetLayoutView="100" workbookViewId="0">
      <selection activeCell="D59" sqref="D59"/>
    </sheetView>
  </sheetViews>
  <sheetFormatPr defaultColWidth="0" defaultRowHeight="12" zeroHeight="1"/>
  <cols>
    <col min="1" max="1" width="15.5703125" style="47" customWidth="1"/>
    <col min="2" max="2" width="18.28515625" style="47" bestFit="1" customWidth="1"/>
    <col min="3" max="3" width="21.7109375" style="47" bestFit="1" customWidth="1"/>
    <col min="4" max="4" width="21.5703125" style="47" customWidth="1"/>
    <col min="5" max="5" width="0.85546875" style="47" customWidth="1"/>
    <col min="6" max="7" width="14.85546875" style="47" hidden="1" customWidth="1"/>
    <col min="8" max="8" width="11.42578125" style="47" hidden="1" customWidth="1"/>
    <col min="9" max="12" width="14.85546875" style="47" hidden="1" customWidth="1"/>
    <col min="13" max="16384" width="11.42578125" style="47" hidden="1"/>
  </cols>
  <sheetData>
    <row r="1" spans="1:4" ht="14.25" customHeight="1">
      <c r="A1" s="131"/>
      <c r="B1" s="131"/>
      <c r="C1" s="131"/>
      <c r="D1" s="552" t="str">
        <f>CONCATENATE("Publication Date: ",TEXT(Input!C7,"DD.MM.AAAA"))</f>
        <v>Publication Date: 05.03.2020</v>
      </c>
    </row>
    <row r="2" spans="1:4" ht="14.25" customHeight="1">
      <c r="A2" s="131"/>
      <c r="B2" s="131"/>
      <c r="C2" s="131"/>
      <c r="D2" s="134" t="str">
        <f>CONCATENATE("Period: ",TEXT(Input!$C$5,"MM.AAAA")," / Period No. ",Input!$C$6)</f>
        <v>Period: 02.2020 / Period No. 9</v>
      </c>
    </row>
    <row r="3" spans="1:4" ht="14.25" customHeight="1">
      <c r="A3" s="131"/>
      <c r="B3" s="131"/>
      <c r="C3" s="131"/>
      <c r="D3" s="382" t="s">
        <v>236</v>
      </c>
    </row>
    <row r="4" spans="1:4"/>
    <row r="5" spans="1:4" ht="15.75" customHeight="1">
      <c r="A5" s="127" t="s">
        <v>54</v>
      </c>
    </row>
    <row r="6" spans="1:4" ht="12.75" customHeight="1">
      <c r="A6" s="100"/>
    </row>
    <row r="7" spans="1:4" ht="38.25">
      <c r="A7" s="128" t="s">
        <v>174</v>
      </c>
      <c r="B7" s="128" t="s">
        <v>167</v>
      </c>
      <c r="C7" s="352" t="s">
        <v>276</v>
      </c>
      <c r="D7" s="128" t="s">
        <v>314</v>
      </c>
    </row>
    <row r="8" spans="1:4" s="65" customFormat="1" ht="12.95" customHeight="1">
      <c r="A8" s="248" t="s">
        <v>53</v>
      </c>
      <c r="B8" s="485">
        <v>152511.34999999998</v>
      </c>
      <c r="C8" s="485">
        <v>727405.59</v>
      </c>
      <c r="D8" s="485">
        <v>879916.94</v>
      </c>
    </row>
    <row r="9" spans="1:4" s="65" customFormat="1" ht="12.95" customHeight="1">
      <c r="A9" s="275">
        <v>43862</v>
      </c>
      <c r="B9" s="485">
        <v>497059.62</v>
      </c>
      <c r="C9" s="485">
        <v>3700088.83</v>
      </c>
      <c r="D9" s="485">
        <v>4197148.45</v>
      </c>
    </row>
    <row r="10" spans="1:4" s="65" customFormat="1" ht="12.95" customHeight="1">
      <c r="A10" s="275">
        <v>43891</v>
      </c>
      <c r="B10" s="485">
        <v>4082481.23</v>
      </c>
      <c r="C10" s="485">
        <v>37280145</v>
      </c>
      <c r="D10" s="485">
        <v>41362626.229999997</v>
      </c>
    </row>
    <row r="11" spans="1:4" s="65" customFormat="1" ht="12.95" customHeight="1">
      <c r="A11" s="275">
        <v>43922</v>
      </c>
      <c r="B11" s="485">
        <v>3919501.24</v>
      </c>
      <c r="C11" s="485">
        <v>36785338.57</v>
      </c>
      <c r="D11" s="485">
        <v>40704839.810000002</v>
      </c>
    </row>
    <row r="12" spans="1:4" s="65" customFormat="1" ht="12.95" customHeight="1">
      <c r="A12" s="275">
        <v>43952</v>
      </c>
      <c r="B12" s="485">
        <v>3697426.84</v>
      </c>
      <c r="C12" s="485">
        <v>35965228.159999996</v>
      </c>
      <c r="D12" s="485">
        <v>39662655</v>
      </c>
    </row>
    <row r="13" spans="1:4" s="65" customFormat="1" ht="12.95" customHeight="1">
      <c r="A13" s="275">
        <v>43983</v>
      </c>
      <c r="B13" s="485">
        <v>3473647.99</v>
      </c>
      <c r="C13" s="485">
        <v>35160340.700000003</v>
      </c>
      <c r="D13" s="485">
        <v>38633988.689999998</v>
      </c>
    </row>
    <row r="14" spans="1:4" s="65" customFormat="1" ht="12.95" customHeight="1">
      <c r="A14" s="275">
        <v>44013</v>
      </c>
      <c r="B14" s="485">
        <v>3254122.68</v>
      </c>
      <c r="C14" s="485">
        <v>34505683.840000004</v>
      </c>
      <c r="D14" s="485">
        <v>37759806.520000003</v>
      </c>
    </row>
    <row r="15" spans="1:4" s="65" customFormat="1" ht="12.95" customHeight="1">
      <c r="A15" s="275">
        <v>44044</v>
      </c>
      <c r="B15" s="485">
        <v>3038677.85</v>
      </c>
      <c r="C15" s="485">
        <v>33172055.379999999</v>
      </c>
      <c r="D15" s="485">
        <v>36210733.229999997</v>
      </c>
    </row>
    <row r="16" spans="1:4" s="65" customFormat="1" ht="12.95" customHeight="1">
      <c r="A16" s="275">
        <v>44075</v>
      </c>
      <c r="B16" s="485">
        <v>2831475.91</v>
      </c>
      <c r="C16" s="485">
        <v>31602199.16</v>
      </c>
      <c r="D16" s="485">
        <v>34433675.07</v>
      </c>
    </row>
    <row r="17" spans="1:4" s="65" customFormat="1" ht="12.95" customHeight="1">
      <c r="A17" s="275">
        <v>44105</v>
      </c>
      <c r="B17" s="485">
        <v>2634094.4500000002</v>
      </c>
      <c r="C17" s="485">
        <v>29929051.75</v>
      </c>
      <c r="D17" s="485">
        <v>32563146.199999999</v>
      </c>
    </row>
    <row r="18" spans="1:4" s="65" customFormat="1" ht="12.95" customHeight="1">
      <c r="A18" s="275">
        <v>44136</v>
      </c>
      <c r="B18" s="485">
        <v>2446851.31</v>
      </c>
      <c r="C18" s="485">
        <v>28147662.510000002</v>
      </c>
      <c r="D18" s="485">
        <v>30594513.82</v>
      </c>
    </row>
    <row r="19" spans="1:4" s="65" customFormat="1" ht="12.95" customHeight="1">
      <c r="A19" s="275">
        <v>44166</v>
      </c>
      <c r="B19" s="485">
        <v>2271052.94</v>
      </c>
      <c r="C19" s="485">
        <v>26451876.890000001</v>
      </c>
      <c r="D19" s="485">
        <v>28722929.829999998</v>
      </c>
    </row>
    <row r="20" spans="1:4" s="65" customFormat="1" ht="12.95" customHeight="1">
      <c r="A20" s="275">
        <v>44197</v>
      </c>
      <c r="B20" s="485">
        <v>2105676.2000000002</v>
      </c>
      <c r="C20" s="485">
        <v>24423279.34</v>
      </c>
      <c r="D20" s="485">
        <v>26528955.539999999</v>
      </c>
    </row>
    <row r="21" spans="1:4" s="65" customFormat="1" ht="12.95" customHeight="1">
      <c r="A21" s="275">
        <v>44228</v>
      </c>
      <c r="B21" s="485">
        <v>1952035.75</v>
      </c>
      <c r="C21" s="485">
        <v>22598430.609999999</v>
      </c>
      <c r="D21" s="485">
        <v>24550466.359999999</v>
      </c>
    </row>
    <row r="22" spans="1:4" s="65" customFormat="1" ht="12.95" customHeight="1">
      <c r="A22" s="275">
        <v>44256</v>
      </c>
      <c r="B22" s="485">
        <v>1810819.46</v>
      </c>
      <c r="C22" s="485">
        <v>20796901.469999999</v>
      </c>
      <c r="D22" s="485">
        <v>22607720.93</v>
      </c>
    </row>
    <row r="23" spans="1:4" s="65" customFormat="1" ht="12.95" customHeight="1">
      <c r="A23" s="275">
        <v>44287</v>
      </c>
      <c r="B23" s="485">
        <v>1680668.95</v>
      </c>
      <c r="C23" s="485">
        <v>18909270.399999999</v>
      </c>
      <c r="D23" s="485">
        <v>20589939.350000001</v>
      </c>
    </row>
    <row r="24" spans="1:4" s="65" customFormat="1" ht="12.95" customHeight="1">
      <c r="A24" s="275">
        <v>44317</v>
      </c>
      <c r="B24" s="485">
        <v>1562283.63</v>
      </c>
      <c r="C24" s="485">
        <v>16846097.690000001</v>
      </c>
      <c r="D24" s="485">
        <v>18408381.32</v>
      </c>
    </row>
    <row r="25" spans="1:4" s="65" customFormat="1" ht="12.75" customHeight="1">
      <c r="A25" s="275">
        <v>44348</v>
      </c>
      <c r="B25" s="485">
        <v>1456468.41</v>
      </c>
      <c r="C25" s="485">
        <v>16389418.279999999</v>
      </c>
      <c r="D25" s="485">
        <v>17845886.690000001</v>
      </c>
    </row>
    <row r="26" spans="1:4" s="65" customFormat="1" ht="12.95" customHeight="1">
      <c r="A26" s="275">
        <v>44378</v>
      </c>
      <c r="B26" s="485">
        <v>1353352.68</v>
      </c>
      <c r="C26" s="485">
        <v>15844008.41</v>
      </c>
      <c r="D26" s="485">
        <v>17197361.09</v>
      </c>
    </row>
    <row r="27" spans="1:4" s="65" customFormat="1" ht="12.95" customHeight="1">
      <c r="A27" s="275">
        <v>44409</v>
      </c>
      <c r="B27" s="485">
        <v>1253667.6100000001</v>
      </c>
      <c r="C27" s="485">
        <v>15173004.970000001</v>
      </c>
      <c r="D27" s="485">
        <v>16426672.58</v>
      </c>
    </row>
    <row r="28" spans="1:4" s="65" customFormat="1" ht="12.95" customHeight="1">
      <c r="A28" s="275">
        <v>44440</v>
      </c>
      <c r="B28" s="485">
        <v>1158675.8799999999</v>
      </c>
      <c r="C28" s="485">
        <v>14599134.85</v>
      </c>
      <c r="D28" s="485">
        <v>15757810.73</v>
      </c>
    </row>
    <row r="29" spans="1:4" s="65" customFormat="1" ht="12.95" customHeight="1">
      <c r="A29" s="275">
        <v>44470</v>
      </c>
      <c r="B29" s="485">
        <v>1067210.1399999999</v>
      </c>
      <c r="C29" s="485">
        <v>14027207.91</v>
      </c>
      <c r="D29" s="485">
        <v>15094418.050000001</v>
      </c>
    </row>
    <row r="30" spans="1:4" s="65" customFormat="1" ht="12.95" customHeight="1">
      <c r="A30" s="275">
        <v>44501</v>
      </c>
      <c r="B30" s="485">
        <v>978970.43</v>
      </c>
      <c r="C30" s="485">
        <v>13436525.75</v>
      </c>
      <c r="D30" s="485">
        <v>14415496.18</v>
      </c>
    </row>
    <row r="31" spans="1:4" s="65" customFormat="1" ht="12.95" customHeight="1">
      <c r="A31" s="275">
        <v>44531</v>
      </c>
      <c r="B31" s="485">
        <v>894407.26</v>
      </c>
      <c r="C31" s="485">
        <v>12733428.109999999</v>
      </c>
      <c r="D31" s="485">
        <v>13627835.369999999</v>
      </c>
    </row>
    <row r="32" spans="1:4" s="65" customFormat="1" ht="12.95" customHeight="1">
      <c r="A32" s="275">
        <v>44562</v>
      </c>
      <c r="B32" s="485">
        <v>814449.88</v>
      </c>
      <c r="C32" s="485">
        <v>11933544.99</v>
      </c>
      <c r="D32" s="485">
        <v>12747994.869999999</v>
      </c>
    </row>
    <row r="33" spans="1:4" s="65" customFormat="1" ht="12.95" customHeight="1">
      <c r="A33" s="275">
        <v>44593</v>
      </c>
      <c r="B33" s="485">
        <v>739525.81</v>
      </c>
      <c r="C33" s="485">
        <v>11246591</v>
      </c>
      <c r="D33" s="485">
        <v>11986116.810000001</v>
      </c>
    </row>
    <row r="34" spans="1:4" s="65" customFormat="1" ht="12.95" customHeight="1">
      <c r="A34" s="275">
        <v>44621</v>
      </c>
      <c r="B34" s="485">
        <v>668287.87</v>
      </c>
      <c r="C34" s="485">
        <v>10557916.07</v>
      </c>
      <c r="D34" s="485">
        <v>11226203.939999999</v>
      </c>
    </row>
    <row r="35" spans="1:4" s="65" customFormat="1" ht="12.95" customHeight="1">
      <c r="A35" s="275">
        <v>44652</v>
      </c>
      <c r="B35" s="485">
        <v>602075.29</v>
      </c>
      <c r="C35" s="485">
        <v>9831447.9800000004</v>
      </c>
      <c r="D35" s="485">
        <v>10433523.27</v>
      </c>
    </row>
    <row r="36" spans="1:4" s="65" customFormat="1" ht="12.95" customHeight="1">
      <c r="A36" s="275">
        <v>44682</v>
      </c>
      <c r="B36" s="485">
        <v>540422.93000000005</v>
      </c>
      <c r="C36" s="485">
        <v>8889828.2200000007</v>
      </c>
      <c r="D36" s="485">
        <v>9430251.1500000004</v>
      </c>
    </row>
    <row r="37" spans="1:4" s="65" customFormat="1" ht="12.95" customHeight="1">
      <c r="A37" s="275">
        <v>44713</v>
      </c>
      <c r="B37" s="485">
        <v>484619.58</v>
      </c>
      <c r="C37" s="485">
        <v>8526582.7699999996</v>
      </c>
      <c r="D37" s="485">
        <v>9011202.3499999996</v>
      </c>
    </row>
    <row r="38" spans="1:4" s="65" customFormat="1" ht="12.95" customHeight="1">
      <c r="A38" s="275">
        <v>44743</v>
      </c>
      <c r="B38" s="485">
        <v>431086.01</v>
      </c>
      <c r="C38" s="485">
        <v>8128679.1299999999</v>
      </c>
      <c r="D38" s="485">
        <v>8559765.1400000006</v>
      </c>
    </row>
    <row r="39" spans="1:4" s="65" customFormat="1" ht="12.95" customHeight="1">
      <c r="A39" s="275">
        <v>44774</v>
      </c>
      <c r="B39" s="485">
        <v>379878.67</v>
      </c>
      <c r="C39" s="485">
        <v>7643943.7999999998</v>
      </c>
      <c r="D39" s="485">
        <v>8023822.4699999997</v>
      </c>
    </row>
    <row r="40" spans="1:4" s="65" customFormat="1" ht="12.95" customHeight="1">
      <c r="A40" s="275">
        <v>44805</v>
      </c>
      <c r="B40" s="485">
        <v>331809.94</v>
      </c>
      <c r="C40" s="485">
        <v>7132761.2800000003</v>
      </c>
      <c r="D40" s="485">
        <v>7464571.2199999997</v>
      </c>
    </row>
    <row r="41" spans="1:4" s="65" customFormat="1" ht="12.95" customHeight="1">
      <c r="A41" s="275">
        <v>44835</v>
      </c>
      <c r="B41" s="485">
        <v>287013.37</v>
      </c>
      <c r="C41" s="485">
        <v>6548186.6799999997</v>
      </c>
      <c r="D41" s="485">
        <v>6835200.0499999998</v>
      </c>
    </row>
    <row r="42" spans="1:4" s="65" customFormat="1" ht="12.95" customHeight="1">
      <c r="A42" s="275">
        <v>44866</v>
      </c>
      <c r="B42" s="485">
        <v>245792.29</v>
      </c>
      <c r="C42" s="485">
        <v>6002007.9100000001</v>
      </c>
      <c r="D42" s="485">
        <v>6247800.2000000002</v>
      </c>
    </row>
    <row r="43" spans="1:4" s="65" customFormat="1" ht="12.95" customHeight="1">
      <c r="A43" s="275">
        <v>44896</v>
      </c>
      <c r="B43" s="485">
        <v>207942.14</v>
      </c>
      <c r="C43" s="485">
        <v>5447334.5800000001</v>
      </c>
      <c r="D43" s="485">
        <v>5655276.7199999997</v>
      </c>
    </row>
    <row r="44" spans="1:4" s="65" customFormat="1" ht="12.95" customHeight="1">
      <c r="A44" s="275">
        <v>44927</v>
      </c>
      <c r="B44" s="485">
        <v>173670.36</v>
      </c>
      <c r="C44" s="485">
        <v>4813031.1900000004</v>
      </c>
      <c r="D44" s="485">
        <v>4986701.55</v>
      </c>
    </row>
    <row r="45" spans="1:4" s="65" customFormat="1" ht="12.75" customHeight="1">
      <c r="A45" s="275">
        <v>44958</v>
      </c>
      <c r="B45" s="485">
        <v>143406.31</v>
      </c>
      <c r="C45" s="485">
        <v>4191934.66</v>
      </c>
      <c r="D45" s="485">
        <v>4335340.97</v>
      </c>
    </row>
    <row r="46" spans="1:4" ht="12.75">
      <c r="A46" s="275">
        <v>44986</v>
      </c>
      <c r="B46" s="485">
        <v>117033.82</v>
      </c>
      <c r="C46" s="485">
        <v>3657329.63</v>
      </c>
      <c r="D46" s="485">
        <v>3774363.45</v>
      </c>
    </row>
    <row r="47" spans="1:4" ht="12.75">
      <c r="A47" s="275">
        <v>45017</v>
      </c>
      <c r="B47" s="485">
        <v>94084.75</v>
      </c>
      <c r="C47" s="485">
        <v>2935250.17</v>
      </c>
      <c r="D47" s="485">
        <v>3029334.92</v>
      </c>
    </row>
    <row r="48" spans="1:4" ht="12.75">
      <c r="A48" s="275">
        <v>45047</v>
      </c>
      <c r="B48" s="485">
        <v>75712.83</v>
      </c>
      <c r="C48" s="485">
        <v>2028023.05</v>
      </c>
      <c r="D48" s="485">
        <v>2103735.88</v>
      </c>
    </row>
    <row r="49" spans="1:4" ht="12.75">
      <c r="A49" s="275">
        <v>45078</v>
      </c>
      <c r="B49" s="485">
        <v>62923.01</v>
      </c>
      <c r="C49" s="485">
        <v>1887035.77</v>
      </c>
      <c r="D49" s="485">
        <v>1949958.78</v>
      </c>
    </row>
    <row r="50" spans="1:4" ht="12.75">
      <c r="A50" s="275">
        <v>45108</v>
      </c>
      <c r="B50" s="485">
        <v>51098.38</v>
      </c>
      <c r="C50" s="485">
        <v>1734121.33</v>
      </c>
      <c r="D50" s="485">
        <v>1785219.71</v>
      </c>
    </row>
    <row r="51" spans="1:4" ht="12.75">
      <c r="A51" s="275">
        <v>45139</v>
      </c>
      <c r="B51" s="485">
        <v>40193.35</v>
      </c>
      <c r="C51" s="485">
        <v>1535083.6</v>
      </c>
      <c r="D51" s="485">
        <v>1575276.95</v>
      </c>
    </row>
    <row r="52" spans="1:4" ht="12.75">
      <c r="A52" s="275">
        <v>45170</v>
      </c>
      <c r="B52" s="485">
        <v>30569.97</v>
      </c>
      <c r="C52" s="485">
        <v>1330948.4099999999</v>
      </c>
      <c r="D52" s="485">
        <v>1361518.38</v>
      </c>
    </row>
    <row r="53" spans="1:4" ht="12.75">
      <c r="A53" s="275">
        <v>45200</v>
      </c>
      <c r="B53" s="485">
        <v>22191.14</v>
      </c>
      <c r="C53" s="485">
        <v>1115878.26</v>
      </c>
      <c r="D53" s="485">
        <v>1138069.3999999999</v>
      </c>
    </row>
    <row r="54" spans="1:4" ht="12.75">
      <c r="A54" s="275">
        <v>45231</v>
      </c>
      <c r="B54" s="485">
        <v>15188.9</v>
      </c>
      <c r="C54" s="485">
        <v>906171.19</v>
      </c>
      <c r="D54" s="485">
        <v>921360.09</v>
      </c>
    </row>
    <row r="55" spans="1:4" ht="12.75">
      <c r="A55" s="275">
        <v>45261</v>
      </c>
      <c r="B55" s="485">
        <v>9472.36</v>
      </c>
      <c r="C55" s="485">
        <v>701988.66</v>
      </c>
      <c r="D55" s="485">
        <v>711461.02</v>
      </c>
    </row>
    <row r="56" spans="1:4" ht="12.75">
      <c r="A56" s="275">
        <v>45292</v>
      </c>
      <c r="B56" s="485">
        <v>5087.4399999999996</v>
      </c>
      <c r="C56" s="485">
        <v>442749.95</v>
      </c>
      <c r="D56" s="485">
        <v>447837.39</v>
      </c>
    </row>
    <row r="57" spans="1:4" ht="12.75">
      <c r="A57" s="275">
        <v>45323</v>
      </c>
      <c r="B57" s="485">
        <v>2304.17</v>
      </c>
      <c r="C57" s="485">
        <v>270981.2</v>
      </c>
      <c r="D57" s="485">
        <v>273285.37</v>
      </c>
    </row>
    <row r="58" spans="1:4" ht="12.75">
      <c r="A58" s="275">
        <v>45352</v>
      </c>
      <c r="B58" s="485">
        <v>618.22</v>
      </c>
      <c r="C58" s="485">
        <v>98966.52</v>
      </c>
      <c r="D58" s="485">
        <v>99584.74</v>
      </c>
    </row>
    <row r="59" spans="1:4" ht="12.75">
      <c r="A59" s="724" t="s">
        <v>42</v>
      </c>
      <c r="B59" s="725">
        <f>ROUND(SUM(B8:B58),2)</f>
        <v>56149598.600000001</v>
      </c>
      <c r="C59" s="725">
        <f>ROUND(SUM(C8:C58),2)</f>
        <v>668742102.16999996</v>
      </c>
      <c r="D59" s="725">
        <f>ROUND(SUM(D8:E58),2)</f>
        <v>724891700.76999998</v>
      </c>
    </row>
    <row r="60" spans="1:4"/>
    <row r="61" spans="1:4">
      <c r="D61" s="743"/>
    </row>
    <row r="62" spans="1:4"/>
    <row r="63" spans="1:4"/>
    <row r="64" spans="1: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sheetData>
  <phoneticPr fontId="26" type="noConversion"/>
  <hyperlinks>
    <hyperlink ref="D3" location="Index!A1" display="Index"/>
  </hyperlinks>
  <printOptions horizontalCentered="1" verticalCentered="1"/>
  <pageMargins left="0.74803149606299213" right="0.78740157480314965" top="0.47244094488188981" bottom="1.3779527559055118" header="0.51181102362204722" footer="0.51181102362204722"/>
  <pageSetup paperSize="9" scale="84" orientation="portrait" r:id="rId1"/>
  <headerFooter alignWithMargins="0">
    <oddFooter>&amp;C14&amp;R&amp;K00-046Banco Volkswagen S.A.
Rua Volkswagen, nº 291
São Paulo - SP - Brazil
Tel: +55 11 5582 5591
TESOU-ABS@vwfs.com</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6" tint="-0.499984740745262"/>
    <pageSetUpPr fitToPage="1"/>
  </sheetPr>
  <dimension ref="A1:I51"/>
  <sheetViews>
    <sheetView showGridLines="0" zoomScale="85" zoomScaleNormal="85" zoomScaleSheetLayoutView="100" workbookViewId="0">
      <selection activeCell="A17" sqref="A17:E17"/>
    </sheetView>
  </sheetViews>
  <sheetFormatPr defaultColWidth="0" defaultRowHeight="12" zeroHeight="1"/>
  <cols>
    <col min="1" max="1" width="154.140625" style="16" customWidth="1"/>
    <col min="2" max="2" width="11.7109375" style="16" hidden="1" customWidth="1"/>
    <col min="3" max="9" width="14.85546875" style="1" hidden="1" customWidth="1"/>
    <col min="10" max="16384" width="11.42578125" style="1" hidden="1"/>
  </cols>
  <sheetData>
    <row r="1" spans="1:1" ht="14.25" customHeight="1">
      <c r="A1" s="553" t="str">
        <f>CONCATENATE("Publication Date: ",TEXT(Input!C7,"DD.MM.AAAA"))</f>
        <v>Publication Date: 05.03.2020</v>
      </c>
    </row>
    <row r="2" spans="1:1" ht="14.25" customHeight="1">
      <c r="A2" s="134" t="str">
        <f>CONCATENATE("Period: ",TEXT(Input!$C$5,"MM.AAAA")," / Period No. ",Input!$C$6)</f>
        <v>Period: 02.2020 / Period No. 9</v>
      </c>
    </row>
    <row r="3" spans="1:1" ht="14.25" customHeight="1">
      <c r="A3" s="381" t="s">
        <v>236</v>
      </c>
    </row>
    <row r="4" spans="1:1"/>
    <row r="5" spans="1:1" ht="15.75" customHeight="1">
      <c r="A5" s="158" t="s">
        <v>55</v>
      </c>
    </row>
    <row r="6" spans="1:1"/>
    <row r="7" spans="1:1"/>
    <row r="8" spans="1:1" ht="12.75" customHeight="1"/>
    <row r="9" spans="1:1" ht="12" customHeight="1">
      <c r="A9" s="18"/>
    </row>
    <row r="10" spans="1:1" ht="12.75" customHeight="1">
      <c r="A10" s="18"/>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hidden="1" customHeight="1"/>
    <row r="45" ht="12" hidden="1" customHeight="1"/>
    <row r="46" ht="12" hidden="1" customHeight="1"/>
    <row r="47" ht="12" hidden="1" customHeight="1"/>
    <row r="48" ht="12" hidden="1" customHeight="1"/>
    <row r="49" ht="12" hidden="1" customHeight="1"/>
    <row r="50" ht="12" hidden="1" customHeight="1"/>
    <row r="51" hidden="1"/>
  </sheetData>
  <hyperlinks>
    <hyperlink ref="A3" location="Index!A1" display="Index"/>
  </hyperlinks>
  <printOptions horizontalCentered="1" verticalCentered="1"/>
  <pageMargins left="0.74803149606299213" right="0.78740157480314965" top="0.47244094488188981" bottom="0.70866141732283472" header="0.51181102362204722" footer="0.51181102362204722"/>
  <pageSetup paperSize="9" scale="85" orientation="landscape" r:id="rId1"/>
  <headerFooter alignWithMargins="0">
    <oddFooter>&amp;C15&amp;R&amp;K00-046Banco Volkswagen S.A.
Rua Volkswagen, nº 291
São Paulo - SP - Brazil
Tel: +55 11 5582 5591
TESOU-ABS@vwfs.com</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pageSetUpPr fitToPage="1"/>
  </sheetPr>
  <dimension ref="A1:T49"/>
  <sheetViews>
    <sheetView showGridLines="0" topLeftCell="A7" zoomScale="85" zoomScaleNormal="85" workbookViewId="0">
      <selection activeCell="C13" sqref="C13"/>
    </sheetView>
  </sheetViews>
  <sheetFormatPr defaultColWidth="0" defaultRowHeight="12.75" zeroHeight="1"/>
  <cols>
    <col min="1" max="1" width="0.42578125" customWidth="1"/>
    <col min="2" max="2" width="39.42578125" customWidth="1"/>
    <col min="3" max="3" width="12.85546875" customWidth="1"/>
    <col min="4" max="4" width="21.7109375" customWidth="1"/>
    <col min="5" max="5" width="12.85546875" customWidth="1"/>
    <col min="6" max="6" width="21.7109375" customWidth="1"/>
    <col min="7" max="7" width="12.85546875" customWidth="1"/>
    <col min="8" max="8" width="21.7109375" customWidth="1"/>
    <col min="9" max="9" width="19.5703125" hidden="1" customWidth="1"/>
    <col min="10" max="10" width="22.7109375" hidden="1" customWidth="1"/>
    <col min="11" max="11" width="12.85546875" customWidth="1"/>
    <col min="12" max="12" width="21.7109375" customWidth="1"/>
    <col min="13" max="13" width="12.85546875" customWidth="1"/>
    <col min="14" max="14" width="21.7109375" customWidth="1"/>
    <col min="15" max="15" width="0.7109375" customWidth="1"/>
    <col min="16" max="20" width="0" hidden="1" customWidth="1"/>
    <col min="21" max="16384" width="11.42578125" hidden="1"/>
  </cols>
  <sheetData>
    <row r="1" spans="2:20" ht="14.25" customHeight="1">
      <c r="B1" s="224"/>
      <c r="C1" s="224"/>
      <c r="D1" s="224"/>
      <c r="E1" s="224"/>
      <c r="F1" s="224"/>
      <c r="G1" s="224"/>
      <c r="H1" s="224"/>
      <c r="I1" s="224"/>
      <c r="J1" s="224"/>
      <c r="K1" s="224"/>
      <c r="L1" s="224"/>
      <c r="M1" s="224"/>
      <c r="N1" s="226" t="str">
        <f>CONCATENATE("Publication Date: ",TEXT(Input!C7,"DD.MM.AAAA"))</f>
        <v>Publication Date: 05.03.2020</v>
      </c>
    </row>
    <row r="2" spans="2:20" ht="14.25" customHeight="1">
      <c r="B2" s="224"/>
      <c r="C2" s="224"/>
      <c r="D2" s="224"/>
      <c r="E2" s="224"/>
      <c r="F2" s="224"/>
      <c r="G2" s="224"/>
      <c r="H2" s="224"/>
      <c r="I2" s="224"/>
      <c r="J2" s="224"/>
      <c r="K2" s="224"/>
      <c r="L2" s="224"/>
      <c r="M2" s="224"/>
      <c r="N2" s="134" t="str">
        <f>CONCATENATE("Period: ",TEXT(Input!$C$5,"MM.AAAA")," / Period No. ",Input!$C$6)</f>
        <v>Period: 02.2020 / Period No. 9</v>
      </c>
    </row>
    <row r="3" spans="2:20" ht="14.25" customHeight="1">
      <c r="B3" s="224"/>
      <c r="C3" s="224"/>
      <c r="D3" s="224"/>
      <c r="E3" s="224"/>
      <c r="F3" s="224"/>
      <c r="G3" s="224"/>
      <c r="H3" s="224"/>
      <c r="I3" s="224"/>
      <c r="J3" s="224"/>
      <c r="K3" s="224"/>
      <c r="L3" s="224"/>
      <c r="M3" s="224"/>
      <c r="N3" s="383" t="s">
        <v>236</v>
      </c>
    </row>
    <row r="4" spans="2:20"/>
    <row r="5" spans="2:20" ht="15.75" customHeight="1">
      <c r="B5" s="282" t="s">
        <v>168</v>
      </c>
    </row>
    <row r="6" spans="2:20"/>
    <row r="7" spans="2:20" ht="38.25">
      <c r="B7" s="285" t="s">
        <v>309</v>
      </c>
      <c r="C7" s="287" t="s">
        <v>41</v>
      </c>
      <c r="D7" s="352" t="s">
        <v>276</v>
      </c>
      <c r="F7" s="94"/>
    </row>
    <row r="8" spans="2:20">
      <c r="B8" s="286" t="s">
        <v>495</v>
      </c>
      <c r="C8" s="465">
        <f>+C30</f>
        <v>38604</v>
      </c>
      <c r="D8" s="468">
        <f>+D30</f>
        <v>713168585.75</v>
      </c>
    </row>
    <row r="9" spans="2:20">
      <c r="B9" s="286" t="s">
        <v>496</v>
      </c>
      <c r="C9" s="465">
        <f>+C42</f>
        <v>37438</v>
      </c>
      <c r="D9" s="468">
        <f>+D42</f>
        <v>668742102.16999996</v>
      </c>
    </row>
    <row r="10" spans="2:20">
      <c r="B10" s="290" t="s">
        <v>42</v>
      </c>
      <c r="C10" s="314">
        <f>+C8-C9</f>
        <v>1166</v>
      </c>
      <c r="D10" s="462">
        <f>+D8-D9</f>
        <v>44426483.580000043</v>
      </c>
    </row>
    <row r="11" spans="2:20">
      <c r="G11" s="482"/>
    </row>
    <row r="12" spans="2:20" ht="25.5">
      <c r="B12" s="289" t="s">
        <v>310</v>
      </c>
      <c r="C12" s="287" t="s">
        <v>41</v>
      </c>
      <c r="D12" s="20" t="s">
        <v>311</v>
      </c>
    </row>
    <row r="13" spans="2:20">
      <c r="B13" s="286" t="s">
        <v>202</v>
      </c>
      <c r="C13" s="361">
        <f>+C36-C24</f>
        <v>539</v>
      </c>
      <c r="D13" s="464"/>
      <c r="R13" s="94"/>
    </row>
    <row r="14" spans="2:20">
      <c r="B14" s="286" t="s">
        <v>46</v>
      </c>
      <c r="C14" s="361">
        <f>+C38-C26</f>
        <v>0</v>
      </c>
      <c r="D14" s="464"/>
      <c r="F14" s="482"/>
      <c r="R14" s="94"/>
    </row>
    <row r="15" spans="2:20">
      <c r="B15" s="286" t="s">
        <v>201</v>
      </c>
      <c r="C15" s="361">
        <f>+C39-C27</f>
        <v>607</v>
      </c>
      <c r="D15" s="464"/>
      <c r="R15" s="94"/>
    </row>
    <row r="16" spans="2:20">
      <c r="B16" s="286" t="s">
        <v>308</v>
      </c>
      <c r="C16" s="361">
        <f>+C40-C28</f>
        <v>10</v>
      </c>
      <c r="D16" s="464"/>
      <c r="R16" s="94"/>
      <c r="S16" s="94"/>
      <c r="T16" s="94"/>
    </row>
    <row r="17" spans="2:20">
      <c r="B17" s="730" t="s">
        <v>643</v>
      </c>
      <c r="C17" s="361">
        <f>+C41-C29</f>
        <v>10</v>
      </c>
      <c r="D17" s="527"/>
      <c r="R17" s="94"/>
      <c r="S17" s="94"/>
      <c r="T17" s="94"/>
    </row>
    <row r="18" spans="2:20">
      <c r="B18" s="290" t="s">
        <v>42</v>
      </c>
      <c r="C18" s="291">
        <f>SUM(C13:C17)</f>
        <v>1166</v>
      </c>
      <c r="D18" s="464"/>
    </row>
    <row r="19" spans="2:20"/>
    <row r="20" spans="2:20">
      <c r="B20" s="821" t="s">
        <v>491</v>
      </c>
      <c r="C20" s="821"/>
      <c r="D20" s="821"/>
      <c r="E20" s="804" t="s">
        <v>142</v>
      </c>
      <c r="F20" s="804"/>
      <c r="G20" s="804"/>
      <c r="H20" s="804"/>
      <c r="I20" s="804"/>
      <c r="J20" s="804"/>
      <c r="K20" s="804" t="s">
        <v>62</v>
      </c>
      <c r="L20" s="804"/>
      <c r="M20" s="804"/>
      <c r="N20" s="804"/>
    </row>
    <row r="21" spans="2:20">
      <c r="B21" s="821"/>
      <c r="C21" s="821"/>
      <c r="D21" s="821"/>
      <c r="E21" s="801" t="s">
        <v>170</v>
      </c>
      <c r="F21" s="803"/>
      <c r="G21" s="801" t="s">
        <v>171</v>
      </c>
      <c r="H21" s="803"/>
      <c r="I21" s="804"/>
      <c r="J21" s="804"/>
      <c r="K21" s="804" t="s">
        <v>172</v>
      </c>
      <c r="L21" s="804"/>
      <c r="M21" s="823" t="s">
        <v>173</v>
      </c>
      <c r="N21" s="823"/>
    </row>
    <row r="22" spans="2:20" ht="38.25">
      <c r="B22" s="294" t="s">
        <v>181</v>
      </c>
      <c r="C22" s="295" t="s">
        <v>41</v>
      </c>
      <c r="D22" s="352" t="s">
        <v>276</v>
      </c>
      <c r="E22" s="295" t="s">
        <v>571</v>
      </c>
      <c r="F22" s="295" t="s">
        <v>572</v>
      </c>
      <c r="G22" s="295" t="s">
        <v>573</v>
      </c>
      <c r="H22" s="295" t="s">
        <v>574</v>
      </c>
      <c r="I22" s="645" t="s">
        <v>311</v>
      </c>
      <c r="J22" s="645" t="s">
        <v>312</v>
      </c>
      <c r="K22" s="295" t="s">
        <v>575</v>
      </c>
      <c r="L22" s="295" t="s">
        <v>576</v>
      </c>
      <c r="M22" s="295" t="s">
        <v>577</v>
      </c>
      <c r="N22" s="295" t="s">
        <v>578</v>
      </c>
    </row>
    <row r="23" spans="2:20">
      <c r="B23" s="292" t="s">
        <v>44</v>
      </c>
      <c r="C23" s="361">
        <v>37361</v>
      </c>
      <c r="D23" s="468">
        <v>679979982.04999995</v>
      </c>
      <c r="E23" s="463">
        <v>28655</v>
      </c>
      <c r="F23" s="640">
        <v>520693254.25</v>
      </c>
      <c r="G23" s="639">
        <v>8706</v>
      </c>
      <c r="H23" s="640">
        <v>159286727.80000001</v>
      </c>
      <c r="I23" s="641"/>
      <c r="J23" s="642"/>
      <c r="K23" s="639">
        <v>33651</v>
      </c>
      <c r="L23" s="643">
        <v>608243367.15999997</v>
      </c>
      <c r="M23" s="639">
        <v>3710</v>
      </c>
      <c r="N23" s="640">
        <v>71736614.890000001</v>
      </c>
    </row>
    <row r="24" spans="2:20">
      <c r="B24" s="293" t="s">
        <v>202</v>
      </c>
      <c r="C24" s="361">
        <v>4353</v>
      </c>
      <c r="D24" s="468">
        <v>0</v>
      </c>
      <c r="E24" s="639">
        <v>3297</v>
      </c>
      <c r="F24" s="640">
        <v>0</v>
      </c>
      <c r="G24" s="639">
        <v>1056</v>
      </c>
      <c r="H24" s="640">
        <v>0</v>
      </c>
      <c r="I24" s="644"/>
      <c r="J24" s="642"/>
      <c r="K24" s="639">
        <v>3851</v>
      </c>
      <c r="L24" s="640">
        <v>0</v>
      </c>
      <c r="M24" s="639">
        <v>502</v>
      </c>
      <c r="N24" s="640">
        <v>0</v>
      </c>
    </row>
    <row r="25" spans="2:20">
      <c r="B25" s="292" t="s">
        <v>45</v>
      </c>
      <c r="C25" s="361">
        <v>1243</v>
      </c>
      <c r="D25" s="468">
        <v>33188603.699999999</v>
      </c>
      <c r="E25" s="639">
        <v>744</v>
      </c>
      <c r="F25" s="640">
        <v>20373868.23</v>
      </c>
      <c r="G25" s="639">
        <v>499</v>
      </c>
      <c r="H25" s="640">
        <v>12814735.469999999</v>
      </c>
      <c r="I25" s="644"/>
      <c r="J25" s="642"/>
      <c r="K25" s="463">
        <v>1148</v>
      </c>
      <c r="L25" s="640">
        <v>30610652.02</v>
      </c>
      <c r="M25" s="639">
        <v>95</v>
      </c>
      <c r="N25" s="640">
        <v>2577951.6800000002</v>
      </c>
    </row>
    <row r="26" spans="2:20">
      <c r="B26" s="293" t="s">
        <v>307</v>
      </c>
      <c r="C26" s="361">
        <v>0</v>
      </c>
      <c r="D26" s="468">
        <v>0</v>
      </c>
      <c r="E26" s="639"/>
      <c r="F26" s="640"/>
      <c r="G26" s="639">
        <v>0</v>
      </c>
      <c r="H26" s="640">
        <v>0</v>
      </c>
      <c r="I26" s="644"/>
      <c r="J26" s="642"/>
      <c r="K26" s="639">
        <v>0</v>
      </c>
      <c r="L26" s="640">
        <v>0</v>
      </c>
      <c r="M26" s="639">
        <v>0</v>
      </c>
      <c r="N26" s="640">
        <v>0</v>
      </c>
    </row>
    <row r="27" spans="2:20">
      <c r="B27" s="292" t="s">
        <v>201</v>
      </c>
      <c r="C27" s="361">
        <v>4215</v>
      </c>
      <c r="D27" s="468">
        <v>0</v>
      </c>
      <c r="E27" s="639">
        <v>3606</v>
      </c>
      <c r="F27" s="640">
        <v>0</v>
      </c>
      <c r="G27" s="639">
        <v>609</v>
      </c>
      <c r="H27" s="640">
        <v>0</v>
      </c>
      <c r="I27" s="644"/>
      <c r="J27" s="642"/>
      <c r="K27" s="639">
        <v>3492</v>
      </c>
      <c r="L27" s="640">
        <v>0</v>
      </c>
      <c r="M27" s="639">
        <v>723</v>
      </c>
      <c r="N27" s="640">
        <v>0</v>
      </c>
    </row>
    <row r="28" spans="2:20">
      <c r="B28" s="729" t="s">
        <v>308</v>
      </c>
      <c r="C28" s="361">
        <v>101</v>
      </c>
      <c r="D28" s="468">
        <v>0</v>
      </c>
      <c r="E28" s="639">
        <v>82</v>
      </c>
      <c r="F28" s="640">
        <v>0</v>
      </c>
      <c r="G28" s="639">
        <v>19</v>
      </c>
      <c r="H28" s="640">
        <v>0</v>
      </c>
      <c r="I28" s="644"/>
      <c r="J28" s="642"/>
      <c r="K28" s="639">
        <v>100</v>
      </c>
      <c r="L28" s="640">
        <v>0</v>
      </c>
      <c r="M28" s="639">
        <v>1</v>
      </c>
      <c r="N28" s="640">
        <v>0</v>
      </c>
    </row>
    <row r="29" spans="2:20">
      <c r="B29" s="730" t="s">
        <v>643</v>
      </c>
      <c r="C29" s="361">
        <v>191</v>
      </c>
      <c r="D29" s="468">
        <v>4760424.2300000004</v>
      </c>
      <c r="E29" s="463">
        <v>139</v>
      </c>
      <c r="F29" s="481">
        <v>3417755.13</v>
      </c>
      <c r="G29" s="463">
        <v>52</v>
      </c>
      <c r="H29" s="481">
        <v>1342669.1</v>
      </c>
      <c r="I29" s="731"/>
      <c r="J29" s="433"/>
      <c r="K29" s="463">
        <v>171</v>
      </c>
      <c r="L29" s="481">
        <v>4256886.47</v>
      </c>
      <c r="M29" s="463">
        <v>20</v>
      </c>
      <c r="N29" s="481">
        <v>503537.76</v>
      </c>
    </row>
    <row r="30" spans="2:20">
      <c r="B30" s="296" t="s">
        <v>42</v>
      </c>
      <c r="C30" s="291">
        <v>38604</v>
      </c>
      <c r="D30" s="462">
        <v>713168585.75</v>
      </c>
      <c r="E30" s="672">
        <v>29399</v>
      </c>
      <c r="F30" s="673">
        <v>541067122.48000002</v>
      </c>
      <c r="G30" s="291">
        <v>9205</v>
      </c>
      <c r="H30" s="655">
        <v>172101463.27000001</v>
      </c>
      <c r="I30" s="672"/>
      <c r="J30" s="674"/>
      <c r="K30" s="672">
        <v>34799</v>
      </c>
      <c r="L30" s="655">
        <v>638854019.17999995</v>
      </c>
      <c r="M30" s="672">
        <v>3805</v>
      </c>
      <c r="N30" s="655">
        <v>74314566.570000008</v>
      </c>
    </row>
    <row r="31" spans="2:20"/>
    <row r="32" spans="2:20">
      <c r="B32" s="821" t="s">
        <v>497</v>
      </c>
      <c r="C32" s="821"/>
      <c r="D32" s="821"/>
      <c r="E32" s="804" t="s">
        <v>142</v>
      </c>
      <c r="F32" s="804"/>
      <c r="G32" s="804"/>
      <c r="H32" s="804"/>
      <c r="I32" s="804"/>
      <c r="J32" s="804"/>
      <c r="K32" s="804" t="s">
        <v>62</v>
      </c>
      <c r="L32" s="804"/>
      <c r="M32" s="804"/>
      <c r="N32" s="804"/>
    </row>
    <row r="33" spans="1:14">
      <c r="B33" s="821"/>
      <c r="C33" s="821"/>
      <c r="D33" s="821"/>
      <c r="E33" s="797" t="s">
        <v>170</v>
      </c>
      <c r="F33" s="797"/>
      <c r="G33" s="797" t="s">
        <v>171</v>
      </c>
      <c r="H33" s="797"/>
      <c r="I33" s="797"/>
      <c r="J33" s="797"/>
      <c r="K33" s="797" t="s">
        <v>172</v>
      </c>
      <c r="L33" s="797"/>
      <c r="M33" s="822" t="s">
        <v>173</v>
      </c>
      <c r="N33" s="822"/>
    </row>
    <row r="34" spans="1:14" ht="38.25">
      <c r="B34" s="294" t="s">
        <v>181</v>
      </c>
      <c r="C34" s="295" t="s">
        <v>41</v>
      </c>
      <c r="D34" s="352" t="s">
        <v>276</v>
      </c>
      <c r="E34" s="646" t="s">
        <v>571</v>
      </c>
      <c r="F34" s="647" t="s">
        <v>276</v>
      </c>
      <c r="G34" s="646" t="s">
        <v>573</v>
      </c>
      <c r="H34" s="647" t="s">
        <v>574</v>
      </c>
      <c r="I34" s="646" t="s">
        <v>311</v>
      </c>
      <c r="J34" s="646" t="s">
        <v>312</v>
      </c>
      <c r="K34" s="646" t="s">
        <v>575</v>
      </c>
      <c r="L34" s="647" t="s">
        <v>576</v>
      </c>
      <c r="M34" s="646" t="s">
        <v>577</v>
      </c>
      <c r="N34" s="647" t="s">
        <v>578</v>
      </c>
    </row>
    <row r="35" spans="1:14">
      <c r="A35" s="738">
        <v>1</v>
      </c>
      <c r="B35" s="292" t="s">
        <v>44</v>
      </c>
      <c r="C35" s="361">
        <f>+Tabelle37[[#This Row],[Number of Contracts2]]+Tabelle37[[#This Row],[Number of Contracts3'#]]</f>
        <v>33715</v>
      </c>
      <c r="D35" s="468">
        <f>+Tabelle37[[#This Row],[Outstanding Discounted Principal Balance]]+Tabelle37[[#This Row],[Outstanding Discounted Principal Balance2]]</f>
        <v>587667788.75</v>
      </c>
      <c r="E35" s="639">
        <v>25893</v>
      </c>
      <c r="F35" s="640">
        <v>449228217.69</v>
      </c>
      <c r="G35" s="639">
        <v>7822</v>
      </c>
      <c r="H35" s="640">
        <v>138439571.06</v>
      </c>
      <c r="I35" s="641"/>
      <c r="J35" s="642"/>
      <c r="K35" s="639">
        <v>30447</v>
      </c>
      <c r="L35" s="643">
        <v>527406633.29000002</v>
      </c>
      <c r="M35" s="639">
        <v>3268</v>
      </c>
      <c r="N35" s="640">
        <v>60261155.460000001</v>
      </c>
    </row>
    <row r="36" spans="1:14">
      <c r="A36" s="738">
        <v>2</v>
      </c>
      <c r="B36" s="293" t="s">
        <v>202</v>
      </c>
      <c r="C36" s="361">
        <f>+Tabelle37[[#This Row],[Number of Contracts2]]+Tabelle37[[#This Row],[Number of Contracts3'#]]</f>
        <v>4892</v>
      </c>
      <c r="D36" s="468">
        <f>+Tabelle37[[#This Row],[Outstanding Discounted Principal Balance]]+Tabelle37[[#This Row],[Outstanding Discounted Principal Balance2]]</f>
        <v>405097.29</v>
      </c>
      <c r="E36" s="639">
        <v>3698</v>
      </c>
      <c r="F36" s="640">
        <v>336498.62</v>
      </c>
      <c r="G36" s="639">
        <v>1194</v>
      </c>
      <c r="H36" s="640">
        <v>68598.67</v>
      </c>
      <c r="I36" s="644"/>
      <c r="J36" s="642"/>
      <c r="K36" s="639">
        <v>4333</v>
      </c>
      <c r="L36" s="640">
        <v>371278.88</v>
      </c>
      <c r="M36" s="639">
        <v>559</v>
      </c>
      <c r="N36" s="640">
        <v>33818.410000000003</v>
      </c>
    </row>
    <row r="37" spans="1:14">
      <c r="A37" s="738">
        <v>3</v>
      </c>
      <c r="B37" s="292" t="s">
        <v>45</v>
      </c>
      <c r="C37" s="361">
        <f>+Tabelle37[[#This Row],[Number of Contracts2]]+Tabelle37[[#This Row],[Number of Contracts3'#]]</f>
        <v>3723</v>
      </c>
      <c r="D37" s="468">
        <f>+Tabelle37[[#This Row],[Outstanding Discounted Principal Balance]]+Tabelle37[[#This Row],[Outstanding Discounted Principal Balance2]]</f>
        <v>81074313.420000002</v>
      </c>
      <c r="E37" s="639">
        <v>2590</v>
      </c>
      <c r="F37" s="640">
        <v>55354725.590000004</v>
      </c>
      <c r="G37" s="639">
        <v>1133</v>
      </c>
      <c r="H37" s="640">
        <v>25719587.829999998</v>
      </c>
      <c r="I37" s="644"/>
      <c r="J37" s="642"/>
      <c r="K37" s="639">
        <v>3353</v>
      </c>
      <c r="L37" s="640">
        <v>73107778.340000004</v>
      </c>
      <c r="M37" s="639">
        <v>370</v>
      </c>
      <c r="N37" s="640">
        <v>7966535.0800000001</v>
      </c>
    </row>
    <row r="38" spans="1:14">
      <c r="A38" s="738">
        <v>4</v>
      </c>
      <c r="B38" s="293" t="s">
        <v>307</v>
      </c>
      <c r="C38" s="361">
        <f>+Tabelle37[[#This Row],[Number of Contracts2]]+Tabelle37[[#This Row],[Number of Contracts3'#]]</f>
        <v>0</v>
      </c>
      <c r="D38" s="468">
        <f>+Tabelle37[[#This Row],[Outstanding Discounted Principal Balance]]+Tabelle37[[#This Row],[Outstanding Discounted Principal Balance2]]</f>
        <v>0</v>
      </c>
      <c r="E38" s="639"/>
      <c r="F38" s="639"/>
      <c r="G38" s="639">
        <v>0</v>
      </c>
      <c r="H38" s="640">
        <v>0</v>
      </c>
      <c r="I38" s="644"/>
      <c r="J38" s="642"/>
      <c r="K38" s="639">
        <v>0</v>
      </c>
      <c r="L38" s="640">
        <v>0</v>
      </c>
      <c r="M38" s="639">
        <v>0</v>
      </c>
      <c r="N38" s="640">
        <v>0</v>
      </c>
    </row>
    <row r="39" spans="1:14">
      <c r="A39" s="738">
        <v>5</v>
      </c>
      <c r="B39" s="292" t="s">
        <v>201</v>
      </c>
      <c r="C39" s="361">
        <f>+Tabelle37[[#This Row],[Number of Contracts2]]+Tabelle37[[#This Row],[Number of Contracts3'#]]</f>
        <v>4822</v>
      </c>
      <c r="D39" s="468">
        <f>+Tabelle37[[#This Row],[Outstanding Discounted Principal Balance]]+Tabelle37[[#This Row],[Outstanding Discounted Principal Balance2]]</f>
        <v>0</v>
      </c>
      <c r="E39" s="639">
        <v>4107</v>
      </c>
      <c r="F39" s="640">
        <v>0</v>
      </c>
      <c r="G39" s="639">
        <v>715</v>
      </c>
      <c r="H39" s="640">
        <v>0</v>
      </c>
      <c r="I39" s="644"/>
      <c r="J39" s="642"/>
      <c r="K39" s="639">
        <v>3989</v>
      </c>
      <c r="L39" s="640">
        <v>0</v>
      </c>
      <c r="M39" s="639">
        <v>833</v>
      </c>
      <c r="N39" s="640">
        <v>0</v>
      </c>
    </row>
    <row r="40" spans="1:14">
      <c r="A40" s="738">
        <v>6</v>
      </c>
      <c r="B40" s="729" t="s">
        <v>308</v>
      </c>
      <c r="C40" s="361">
        <f>+Tabelle37[[#This Row],[Number of Contracts2]]+Tabelle37[[#This Row],[Number of Contracts3'#]]</f>
        <v>111</v>
      </c>
      <c r="D40" s="468">
        <f>+Tabelle37[[#This Row],[Outstanding Discounted Principal Balance]]+Tabelle37[[#This Row],[Outstanding Discounted Principal Balance2]]</f>
        <v>59273.04</v>
      </c>
      <c r="E40" s="639">
        <v>89</v>
      </c>
      <c r="F40" s="640">
        <v>23756.82</v>
      </c>
      <c r="G40" s="639">
        <v>22</v>
      </c>
      <c r="H40" s="640">
        <v>35516.22</v>
      </c>
      <c r="I40" s="644"/>
      <c r="J40" s="642"/>
      <c r="K40" s="639">
        <v>110</v>
      </c>
      <c r="L40" s="640">
        <v>59273.04</v>
      </c>
      <c r="M40" s="639">
        <v>1</v>
      </c>
      <c r="N40" s="640">
        <v>0</v>
      </c>
    </row>
    <row r="41" spans="1:14">
      <c r="A41" s="738">
        <v>7</v>
      </c>
      <c r="B41" s="730" t="s">
        <v>643</v>
      </c>
      <c r="C41" s="361">
        <f>+Tabelle37[[#This Row],[Number of Contracts2]]+Tabelle37[[#This Row],[Number of Contracts3'#]]</f>
        <v>201</v>
      </c>
      <c r="D41" s="468">
        <f>+Tabelle37[[#This Row],[Outstanding Discounted Principal Balance]]+Tabelle37[[#This Row],[Outstanding Discounted Principal Balance2]]</f>
        <v>5002954.29</v>
      </c>
      <c r="E41" s="639">
        <v>146</v>
      </c>
      <c r="F41" s="640">
        <v>3602989.79</v>
      </c>
      <c r="G41" s="639">
        <v>55</v>
      </c>
      <c r="H41" s="640">
        <v>1399964.5</v>
      </c>
      <c r="I41" s="644"/>
      <c r="J41" s="642"/>
      <c r="K41" s="639">
        <v>181</v>
      </c>
      <c r="L41" s="640">
        <v>4499416.53</v>
      </c>
      <c r="M41" s="639">
        <v>20</v>
      </c>
      <c r="N41" s="640">
        <v>503537.76</v>
      </c>
    </row>
    <row r="42" spans="1:14">
      <c r="B42" s="296" t="s">
        <v>42</v>
      </c>
      <c r="C42" s="291">
        <f>+C35+C37</f>
        <v>37438</v>
      </c>
      <c r="D42" s="462">
        <f>D35+D37</f>
        <v>668742102.16999996</v>
      </c>
      <c r="E42" s="532">
        <f>+E35+E37</f>
        <v>28483</v>
      </c>
      <c r="F42" s="534">
        <f>+F37+F35</f>
        <v>504582943.27999997</v>
      </c>
      <c r="G42" s="532">
        <f>+G35+G37</f>
        <v>8955</v>
      </c>
      <c r="H42" s="534">
        <f>+H35+H37</f>
        <v>164159158.88999999</v>
      </c>
      <c r="I42" s="532"/>
      <c r="J42" s="648"/>
      <c r="K42" s="532">
        <f>+K35+K37</f>
        <v>33800</v>
      </c>
      <c r="L42" s="534">
        <f>L35+L37</f>
        <v>600514411.63</v>
      </c>
      <c r="M42" s="532">
        <f>+M35+M37</f>
        <v>3638</v>
      </c>
      <c r="N42" s="534">
        <f>N35+N37</f>
        <v>68227690.540000007</v>
      </c>
    </row>
    <row r="43" spans="1:14"/>
    <row r="44" spans="1:14" hidden="1"/>
    <row r="45" spans="1:14" hidden="1"/>
    <row r="46" spans="1:14" hidden="1"/>
    <row r="47" spans="1:14" hidden="1"/>
    <row r="48" spans="1:14" hidden="1"/>
    <row r="49" hidden="1"/>
  </sheetData>
  <mergeCells count="16">
    <mergeCell ref="B20:D21"/>
    <mergeCell ref="E20:J20"/>
    <mergeCell ref="K20:N20"/>
    <mergeCell ref="E21:F21"/>
    <mergeCell ref="G21:H21"/>
    <mergeCell ref="I21:J21"/>
    <mergeCell ref="K21:L21"/>
    <mergeCell ref="M21:N21"/>
    <mergeCell ref="B32:D33"/>
    <mergeCell ref="E32:J32"/>
    <mergeCell ref="K32:N32"/>
    <mergeCell ref="E33:F33"/>
    <mergeCell ref="G33:H33"/>
    <mergeCell ref="I33:J33"/>
    <mergeCell ref="K33:L33"/>
    <mergeCell ref="M33:N33"/>
  </mergeCells>
  <hyperlinks>
    <hyperlink ref="N3" location="Index!A1" display="Index"/>
  </hyperlinks>
  <printOptions horizontalCentered="1" verticalCentered="1"/>
  <pageMargins left="0.70866141732283472" right="0.70866141732283472" top="0.78740157480314965" bottom="0.78740157480314965" header="0.31496062992125984" footer="0.31496062992125984"/>
  <pageSetup paperSize="9" scale="63" orientation="landscape" r:id="rId1"/>
  <headerFooter>
    <oddFooter>&amp;C16&amp;R&amp;K00-046Banco Volkswagen S.A.
Rua Volkswagen, nº 291
São Paulo - SP - Brazil
Tel: +55 11 5582 5591
TESOU-ABS@vwfs.com</oddFooter>
  </headerFooter>
  <ignoredErrors>
    <ignoredError sqref="C35:D40 C41:D41 C42" calculatedColumn="1"/>
    <ignoredError sqref="D42" formula="1" calculatedColumn="1"/>
    <ignoredError sqref="F42 L42:M42" formula="1"/>
  </ignoredErrors>
  <drawing r:id="rId2"/>
  <tableParts count="5">
    <tablePart r:id="rId3"/>
    <tablePart r:id="rId4"/>
    <tablePart r:id="rId5"/>
    <tablePart r:id="rId6"/>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pageSetUpPr fitToPage="1"/>
  </sheetPr>
  <dimension ref="A1:V66"/>
  <sheetViews>
    <sheetView showGridLines="0" zoomScale="85" zoomScaleNormal="85" workbookViewId="0">
      <selection activeCell="D11" sqref="D11"/>
    </sheetView>
  </sheetViews>
  <sheetFormatPr defaultColWidth="0" defaultRowHeight="12.75" zeroHeight="1"/>
  <cols>
    <col min="1" max="1" width="0.42578125" customWidth="1"/>
    <col min="2" max="2" width="20.5703125" bestFit="1" customWidth="1"/>
    <col min="3" max="3" width="12.7109375" customWidth="1"/>
    <col min="4" max="4" width="15.5703125" customWidth="1"/>
    <col min="5" max="5" width="17.140625" customWidth="1"/>
    <col min="6" max="6" width="21.7109375" customWidth="1"/>
    <col min="7" max="7" width="16.28515625" customWidth="1"/>
    <col min="8" max="8" width="12.7109375" customWidth="1"/>
    <col min="9" max="9" width="17" customWidth="1"/>
    <col min="10" max="10" width="21.7109375" customWidth="1"/>
    <col min="11" max="11" width="12.7109375" customWidth="1"/>
    <col min="12" max="12" width="16.42578125" customWidth="1"/>
    <col min="13" max="13" width="21.7109375" customWidth="1"/>
    <col min="14" max="14" width="12.7109375" customWidth="1"/>
    <col min="15" max="15" width="16.28515625" customWidth="1"/>
    <col min="16" max="16" width="21.7109375" customWidth="1"/>
    <col min="17" max="17" width="12.7109375" customWidth="1"/>
    <col min="18" max="18" width="15.28515625" customWidth="1"/>
    <col min="19" max="19" width="21.7109375" customWidth="1"/>
    <col min="20" max="20" width="0.42578125" customWidth="1"/>
    <col min="21" max="22" width="0" hidden="1" customWidth="1"/>
    <col min="23" max="16384" width="11.42578125" hidden="1"/>
  </cols>
  <sheetData>
    <row r="1" spans="1:19" ht="14.25" customHeight="1">
      <c r="B1" s="218"/>
      <c r="C1" s="132"/>
      <c r="D1" s="132"/>
      <c r="E1" s="132"/>
      <c r="F1" s="132"/>
      <c r="G1" s="277"/>
      <c r="H1" s="266"/>
      <c r="I1" s="131"/>
      <c r="J1" s="131"/>
      <c r="K1" s="131"/>
      <c r="L1" s="131"/>
      <c r="M1" s="131"/>
      <c r="N1" s="169"/>
      <c r="O1" s="270"/>
      <c r="P1" s="270"/>
      <c r="Q1" s="270"/>
      <c r="R1" s="270"/>
      <c r="S1" s="134" t="str">
        <f>CONCATENATE("Publication Date: ",TEXT(Input!C7,"DD.MM.AAAA"))</f>
        <v>Publication Date: 05.03.2020</v>
      </c>
    </row>
    <row r="2" spans="1:19" ht="14.25" customHeight="1">
      <c r="B2" s="218"/>
      <c r="C2" s="132"/>
      <c r="D2" s="132"/>
      <c r="E2" s="132"/>
      <c r="F2" s="132"/>
      <c r="G2" s="277"/>
      <c r="H2" s="266"/>
      <c r="I2" s="131"/>
      <c r="J2" s="131"/>
      <c r="K2" s="131"/>
      <c r="L2" s="131"/>
      <c r="M2" s="131"/>
      <c r="N2" s="169"/>
      <c r="O2" s="271"/>
      <c r="P2" s="271"/>
      <c r="Q2" s="271"/>
      <c r="R2" s="271"/>
      <c r="S2" s="134" t="str">
        <f>CONCATENATE("Period: ",TEXT(Input!$C$5,"MM.AAAA")," / Period No. ",Input!$C$6)</f>
        <v>Period: 02.2020 / Period No. 9</v>
      </c>
    </row>
    <row r="3" spans="1:19" ht="14.25" customHeight="1">
      <c r="B3" s="218"/>
      <c r="C3" s="132"/>
      <c r="D3" s="132"/>
      <c r="E3" s="132"/>
      <c r="F3" s="132"/>
      <c r="G3" s="131"/>
      <c r="H3" s="131"/>
      <c r="I3" s="131"/>
      <c r="J3" s="131"/>
      <c r="K3" s="131"/>
      <c r="L3" s="131"/>
      <c r="M3" s="131"/>
      <c r="N3" s="169"/>
      <c r="O3" s="280"/>
      <c r="P3" s="280"/>
      <c r="Q3" s="281"/>
      <c r="R3" s="281"/>
      <c r="S3" s="380" t="s">
        <v>236</v>
      </c>
    </row>
    <row r="4" spans="1:19"/>
    <row r="5" spans="1:19" ht="15.75" customHeight="1">
      <c r="B5" s="127" t="s">
        <v>433</v>
      </c>
    </row>
    <row r="6" spans="1:19">
      <c r="H6" s="449">
        <v>2</v>
      </c>
      <c r="I6" s="449">
        <v>3</v>
      </c>
      <c r="J6" s="449"/>
      <c r="K6" s="449">
        <v>4</v>
      </c>
      <c r="L6" s="449">
        <v>5</v>
      </c>
      <c r="M6" s="449"/>
    </row>
    <row r="7" spans="1:19" ht="12.75" customHeight="1">
      <c r="B7" s="829" t="s">
        <v>232</v>
      </c>
      <c r="C7" s="830"/>
      <c r="D7" s="830"/>
      <c r="E7" s="830"/>
      <c r="F7" s="830"/>
      <c r="G7" s="830"/>
      <c r="H7" s="824" t="s">
        <v>142</v>
      </c>
      <c r="I7" s="825"/>
      <c r="J7" s="825"/>
      <c r="K7" s="825"/>
      <c r="L7" s="825"/>
      <c r="M7" s="826"/>
      <c r="N7" s="827" t="s">
        <v>62</v>
      </c>
      <c r="O7" s="828"/>
      <c r="P7" s="828"/>
      <c r="Q7" s="828"/>
      <c r="R7" s="828"/>
      <c r="S7" s="828"/>
    </row>
    <row r="8" spans="1:19">
      <c r="B8" s="831"/>
      <c r="C8" s="832"/>
      <c r="D8" s="832"/>
      <c r="E8" s="832"/>
      <c r="F8" s="832"/>
      <c r="G8" s="832"/>
      <c r="H8" s="824" t="s">
        <v>170</v>
      </c>
      <c r="I8" s="825"/>
      <c r="J8" s="826"/>
      <c r="K8" s="824" t="s">
        <v>171</v>
      </c>
      <c r="L8" s="825"/>
      <c r="M8" s="826"/>
      <c r="N8" s="824" t="s">
        <v>172</v>
      </c>
      <c r="O8" s="825"/>
      <c r="P8" s="826"/>
      <c r="Q8" s="824" t="s">
        <v>173</v>
      </c>
      <c r="R8" s="825"/>
      <c r="S8" s="826"/>
    </row>
    <row r="9" spans="1:19" ht="38.25">
      <c r="B9" s="608" t="s">
        <v>489</v>
      </c>
      <c r="C9" s="213" t="s">
        <v>41</v>
      </c>
      <c r="D9" s="213" t="s">
        <v>169</v>
      </c>
      <c r="E9" s="213" t="s">
        <v>604</v>
      </c>
      <c r="F9" s="683" t="s">
        <v>611</v>
      </c>
      <c r="G9" s="213" t="s">
        <v>379</v>
      </c>
      <c r="H9" s="210" t="s">
        <v>255</v>
      </c>
      <c r="I9" s="210" t="s">
        <v>604</v>
      </c>
      <c r="J9" s="210" t="s">
        <v>481</v>
      </c>
      <c r="K9" s="210" t="s">
        <v>256</v>
      </c>
      <c r="L9" s="210" t="s">
        <v>605</v>
      </c>
      <c r="M9" s="210" t="s">
        <v>606</v>
      </c>
      <c r="N9" s="210" t="s">
        <v>258</v>
      </c>
      <c r="O9" s="210" t="s">
        <v>607</v>
      </c>
      <c r="P9" s="210" t="s">
        <v>608</v>
      </c>
      <c r="Q9" s="210" t="s">
        <v>259</v>
      </c>
      <c r="R9" s="210" t="s">
        <v>609</v>
      </c>
      <c r="S9" s="684" t="s">
        <v>610</v>
      </c>
    </row>
    <row r="10" spans="1:19">
      <c r="A10" t="s">
        <v>654</v>
      </c>
      <c r="B10" s="46" t="s">
        <v>350</v>
      </c>
      <c r="C10" s="450">
        <f>Tabelle47[[#This Row],[Number of Contracts2]]+Tabelle47[[#This Row],[Number of Contracts4]]</f>
        <v>3051</v>
      </c>
      <c r="D10" s="448">
        <f>+C10/$C$20</f>
        <v>0.81950040290088633</v>
      </c>
      <c r="E10" s="615">
        <f>Tabelle47[[#This Row],[Amount of Delinquent Receivables]]+Tabelle47[[#This Row],[Amount of Delinquent Receivables2]]</f>
        <v>3121463.49</v>
      </c>
      <c r="F10" s="615">
        <f>Tabelle47[[#This Row],[Outstanding Discounted Principal Balance2]]+Tabelle47[[#This Row],[Outstanding Discounted Principal Balance23]]</f>
        <v>62388540.719999999</v>
      </c>
      <c r="G10" s="448">
        <f>+F10/$F$20</f>
        <v>0.76952289927884288</v>
      </c>
      <c r="H10" s="463">
        <v>2233</v>
      </c>
      <c r="I10" s="463">
        <v>2530154.87</v>
      </c>
      <c r="J10" s="463">
        <v>45036011.960000001</v>
      </c>
      <c r="K10" s="463">
        <v>818</v>
      </c>
      <c r="L10" s="463">
        <v>591308.62</v>
      </c>
      <c r="M10" s="463">
        <v>17352528.759999998</v>
      </c>
      <c r="N10" s="463">
        <v>2744</v>
      </c>
      <c r="O10" s="463">
        <v>2673395.7699999996</v>
      </c>
      <c r="P10" s="463">
        <v>55889242.810000002</v>
      </c>
      <c r="Q10" s="463">
        <v>307</v>
      </c>
      <c r="R10" s="463">
        <v>448067.72000000003</v>
      </c>
      <c r="S10" s="463">
        <v>6499297.9100000001</v>
      </c>
    </row>
    <row r="11" spans="1:19">
      <c r="B11" s="46" t="s">
        <v>504</v>
      </c>
      <c r="C11" s="450">
        <f>Tabelle47[[#This Row],[Number of Contracts2]]+Tabelle47[[#This Row],[Number of Contracts4]]</f>
        <v>359</v>
      </c>
      <c r="D11" s="448">
        <f>+C11/$C$20</f>
        <v>9.6427612140746716E-2</v>
      </c>
      <c r="E11" s="615">
        <f>Tabelle47[[#This Row],[Amount of Delinquent Receivables]]+Tabelle47[[#This Row],[Amount of Delinquent Receivables2]]</f>
        <v>333587.06</v>
      </c>
      <c r="F11" s="615">
        <f>Tabelle47[[#This Row],[Outstanding Discounted Principal Balance2]]+Tabelle47[[#This Row],[Outstanding Discounted Principal Balance23]]</f>
        <v>9119134.0899999999</v>
      </c>
      <c r="G11" s="448">
        <f t="shared" ref="G11:G19" si="0">+F11/$F$20</f>
        <v>0.11247870879595294</v>
      </c>
      <c r="H11" s="463">
        <v>207</v>
      </c>
      <c r="I11" s="463">
        <v>220750.94</v>
      </c>
      <c r="J11" s="463">
        <v>5394573.71</v>
      </c>
      <c r="K11" s="463">
        <v>152</v>
      </c>
      <c r="L11" s="463">
        <v>112836.12</v>
      </c>
      <c r="M11" s="463">
        <v>3724560.3800000004</v>
      </c>
      <c r="N11" s="463">
        <v>322</v>
      </c>
      <c r="O11" s="463">
        <v>288736.15999999997</v>
      </c>
      <c r="P11" s="463">
        <v>8357965.2000000002</v>
      </c>
      <c r="Q11" s="463">
        <v>37</v>
      </c>
      <c r="R11" s="463">
        <v>44850.9</v>
      </c>
      <c r="S11" s="463">
        <v>761168.89</v>
      </c>
    </row>
    <row r="12" spans="1:19">
      <c r="B12" s="46" t="s">
        <v>351</v>
      </c>
      <c r="C12" s="450">
        <f>Tabelle47[[#This Row],[Number of Contracts2]]+Tabelle47[[#This Row],[Number of Contracts4]]</f>
        <v>112</v>
      </c>
      <c r="D12" s="448">
        <f t="shared" ref="D12:D18" si="1">+C12/$C$20</f>
        <v>3.0083266183185603E-2</v>
      </c>
      <c r="E12" s="615">
        <f>Tabelle47[[#This Row],[Amount of Delinquent Receivables]]+Tabelle47[[#This Row],[Amount of Delinquent Receivables2]]</f>
        <v>202490.22999999998</v>
      </c>
      <c r="F12" s="615">
        <f>Tabelle47[[#This Row],[Outstanding Discounted Principal Balance2]]+Tabelle47[[#This Row],[Outstanding Discounted Principal Balance23]]</f>
        <v>3106547.73</v>
      </c>
      <c r="G12" s="448">
        <f t="shared" si="0"/>
        <v>3.8317286930408395E-2</v>
      </c>
      <c r="H12" s="463">
        <v>55</v>
      </c>
      <c r="I12" s="463">
        <v>115355.04</v>
      </c>
      <c r="J12" s="463">
        <v>1560134.07</v>
      </c>
      <c r="K12" s="463">
        <v>57</v>
      </c>
      <c r="L12" s="463">
        <v>87135.19</v>
      </c>
      <c r="M12" s="463">
        <v>1546413.66</v>
      </c>
      <c r="N12" s="463">
        <v>103</v>
      </c>
      <c r="O12" s="463">
        <v>173406.01</v>
      </c>
      <c r="P12" s="463">
        <v>2916321.69</v>
      </c>
      <c r="Q12" s="463">
        <v>9</v>
      </c>
      <c r="R12" s="463">
        <v>29084.22</v>
      </c>
      <c r="S12" s="463">
        <v>190226.04</v>
      </c>
    </row>
    <row r="13" spans="1:19">
      <c r="B13" s="46" t="s">
        <v>352</v>
      </c>
      <c r="C13" s="450">
        <f>Tabelle47[[#This Row],[Number of Contracts2]]+Tabelle47[[#This Row],[Number of Contracts4]]</f>
        <v>61</v>
      </c>
      <c r="D13" s="448">
        <f t="shared" si="1"/>
        <v>1.6384636046199302E-2</v>
      </c>
      <c r="E13" s="615">
        <f>Tabelle47[[#This Row],[Amount of Delinquent Receivables]]+Tabelle47[[#This Row],[Amount of Delinquent Receivables2]]</f>
        <v>156782.97</v>
      </c>
      <c r="F13" s="615">
        <f>Tabelle47[[#This Row],[Outstanding Discounted Principal Balance2]]+Tabelle47[[#This Row],[Outstanding Discounted Principal Balance23]]</f>
        <v>1949136.52</v>
      </c>
      <c r="G13" s="448">
        <f t="shared" si="0"/>
        <v>2.4041357092999729E-2</v>
      </c>
      <c r="H13" s="463">
        <v>26</v>
      </c>
      <c r="I13" s="463">
        <v>66761.5</v>
      </c>
      <c r="J13" s="463">
        <v>898921.62</v>
      </c>
      <c r="K13" s="463">
        <v>35</v>
      </c>
      <c r="L13" s="463">
        <v>90021.47</v>
      </c>
      <c r="M13" s="463">
        <v>1050214.9000000001</v>
      </c>
      <c r="N13" s="463">
        <v>57</v>
      </c>
      <c r="O13" s="463">
        <v>141419.29999999999</v>
      </c>
      <c r="P13" s="463">
        <v>1793565.13</v>
      </c>
      <c r="Q13" s="463">
        <v>4</v>
      </c>
      <c r="R13" s="463">
        <v>15363.67</v>
      </c>
      <c r="S13" s="463">
        <v>155571.39000000001</v>
      </c>
    </row>
    <row r="14" spans="1:19">
      <c r="B14" s="46" t="s">
        <v>353</v>
      </c>
      <c r="C14" s="450">
        <f>Tabelle47[[#This Row],[Number of Contracts2]]+Tabelle47[[#This Row],[Number of Contracts4]]</f>
        <v>41</v>
      </c>
      <c r="D14" s="448">
        <f t="shared" si="1"/>
        <v>1.1012624227773301E-2</v>
      </c>
      <c r="E14" s="615">
        <f>Tabelle47[[#This Row],[Amount of Delinquent Receivables]]+Tabelle47[[#This Row],[Amount of Delinquent Receivables2]]</f>
        <v>125867.03</v>
      </c>
      <c r="F14" s="615">
        <f>Tabelle47[[#This Row],[Outstanding Discounted Principal Balance2]]+Tabelle47[[#This Row],[Outstanding Discounted Principal Balance23]]</f>
        <v>1207192.24</v>
      </c>
      <c r="G14" s="448">
        <f t="shared" si="0"/>
        <v>1.4889947124759752E-2</v>
      </c>
      <c r="H14" s="463">
        <v>21</v>
      </c>
      <c r="I14" s="463">
        <v>73063.25</v>
      </c>
      <c r="J14" s="463">
        <v>640050.37</v>
      </c>
      <c r="K14" s="463">
        <v>20</v>
      </c>
      <c r="L14" s="463">
        <v>52803.78</v>
      </c>
      <c r="M14" s="463">
        <v>567141.87</v>
      </c>
      <c r="N14" s="463">
        <v>35</v>
      </c>
      <c r="O14" s="463">
        <v>109243.22</v>
      </c>
      <c r="P14" s="463">
        <v>1087998</v>
      </c>
      <c r="Q14" s="463">
        <v>6</v>
      </c>
      <c r="R14" s="463">
        <v>16623.810000000001</v>
      </c>
      <c r="S14" s="463">
        <v>119194.24000000001</v>
      </c>
    </row>
    <row r="15" spans="1:19">
      <c r="B15" s="46" t="s">
        <v>354</v>
      </c>
      <c r="C15" s="450">
        <f>Tabelle47[[#This Row],[Number of Contracts2]]+Tabelle47[[#This Row],[Number of Contracts4]]</f>
        <v>25</v>
      </c>
      <c r="D15" s="448">
        <f t="shared" si="1"/>
        <v>6.7150147730325009E-3</v>
      </c>
      <c r="E15" s="615">
        <f>Tabelle47[[#This Row],[Amount of Delinquent Receivables]]+Tabelle47[[#This Row],[Amount of Delinquent Receivables2]]</f>
        <v>110920.70999999999</v>
      </c>
      <c r="F15" s="615">
        <f>Tabelle47[[#This Row],[Outstanding Discounted Principal Balance2]]+Tabelle47[[#This Row],[Outstanding Discounted Principal Balance23]]</f>
        <v>982859.42</v>
      </c>
      <c r="G15" s="448">
        <f t="shared" si="0"/>
        <v>1.212294472243463E-2</v>
      </c>
      <c r="H15" s="463">
        <v>12</v>
      </c>
      <c r="I15" s="463">
        <v>66506.34</v>
      </c>
      <c r="J15" s="463">
        <v>590817.54</v>
      </c>
      <c r="K15" s="463">
        <v>13</v>
      </c>
      <c r="L15" s="463">
        <v>44414.37</v>
      </c>
      <c r="M15" s="463">
        <v>392041.88</v>
      </c>
      <c r="N15" s="463">
        <v>22</v>
      </c>
      <c r="O15" s="463">
        <v>90746.79</v>
      </c>
      <c r="P15" s="463">
        <v>861330.88</v>
      </c>
      <c r="Q15" s="463">
        <v>3</v>
      </c>
      <c r="R15" s="463">
        <v>20173.919999999998</v>
      </c>
      <c r="S15" s="463">
        <v>121528.54</v>
      </c>
    </row>
    <row r="16" spans="1:19">
      <c r="B16" s="46" t="s">
        <v>355</v>
      </c>
      <c r="C16" s="450">
        <f>Tabelle47[[#This Row],[Number of Contracts2]]+Tabelle47[[#This Row],[Number of Contracts4]]</f>
        <v>33</v>
      </c>
      <c r="D16" s="448">
        <f t="shared" si="1"/>
        <v>8.8638195004029016E-3</v>
      </c>
      <c r="E16" s="615">
        <f>Tabelle47[[#This Row],[Amount of Delinquent Receivables]]+Tabelle47[[#This Row],[Amount of Delinquent Receivables2]]</f>
        <v>161739.34</v>
      </c>
      <c r="F16" s="615">
        <f>Tabelle47[[#This Row],[Outstanding Discounted Principal Balance2]]+Tabelle47[[#This Row],[Outstanding Discounted Principal Balance23]]</f>
        <v>1109417.0899999999</v>
      </c>
      <c r="G16" s="448">
        <f t="shared" si="0"/>
        <v>1.3683952946388082E-2</v>
      </c>
      <c r="H16" s="463">
        <v>16</v>
      </c>
      <c r="I16" s="463">
        <v>90663.17</v>
      </c>
      <c r="J16" s="463">
        <v>599731.5</v>
      </c>
      <c r="K16" s="463">
        <v>17</v>
      </c>
      <c r="L16" s="463">
        <v>71076.17</v>
      </c>
      <c r="M16" s="463">
        <v>509685.58999999997</v>
      </c>
      <c r="N16" s="463">
        <v>30</v>
      </c>
      <c r="O16" s="463">
        <v>143138.84</v>
      </c>
      <c r="P16" s="463">
        <v>1016616.1</v>
      </c>
      <c r="Q16" s="463">
        <v>3</v>
      </c>
      <c r="R16" s="463">
        <v>18600.5</v>
      </c>
      <c r="S16" s="463">
        <v>92800.99</v>
      </c>
    </row>
    <row r="17" spans="2:19">
      <c r="B17" s="46" t="s">
        <v>356</v>
      </c>
      <c r="C17" s="450">
        <f>Tabelle47[[#This Row],[Number of Contracts2]]+Tabelle47[[#This Row],[Number of Contracts4]]</f>
        <v>41</v>
      </c>
      <c r="D17" s="448">
        <f t="shared" si="1"/>
        <v>1.1012624227773301E-2</v>
      </c>
      <c r="E17" s="615">
        <f>Tabelle47[[#This Row],[Amount of Delinquent Receivables]]+Tabelle47[[#This Row],[Amount of Delinquent Receivables2]]</f>
        <v>214643.59</v>
      </c>
      <c r="F17" s="615">
        <f>Tabelle47[[#This Row],[Outstanding Discounted Principal Balance2]]+Tabelle47[[#This Row],[Outstanding Discounted Principal Balance23]]</f>
        <v>1211485.6099999999</v>
      </c>
      <c r="G17" s="448">
        <f t="shared" si="0"/>
        <v>1.4942903108213579E-2</v>
      </c>
      <c r="H17" s="463">
        <v>20</v>
      </c>
      <c r="I17" s="463">
        <v>124365.88</v>
      </c>
      <c r="J17" s="463">
        <v>634484.81999999995</v>
      </c>
      <c r="K17" s="463">
        <v>21</v>
      </c>
      <c r="L17" s="463">
        <v>90277.709999999992</v>
      </c>
      <c r="M17" s="463">
        <v>577000.78999999992</v>
      </c>
      <c r="N17" s="463">
        <v>40</v>
      </c>
      <c r="O17" s="463">
        <v>203766.07</v>
      </c>
      <c r="P17" s="463">
        <v>1184738.53</v>
      </c>
      <c r="Q17" s="463">
        <v>1</v>
      </c>
      <c r="R17" s="463">
        <v>10877.52</v>
      </c>
      <c r="S17" s="463">
        <v>26747.08</v>
      </c>
    </row>
    <row r="18" spans="2:19">
      <c r="B18" s="46" t="s">
        <v>357</v>
      </c>
      <c r="C18" s="450">
        <f>Tabelle47[[#This Row],[Number of Contracts2]]+Tabelle47[[#This Row],[Number of Contracts4]]</f>
        <v>0</v>
      </c>
      <c r="D18" s="448">
        <f t="shared" si="1"/>
        <v>0</v>
      </c>
      <c r="E18" s="615">
        <f>Tabelle47[[#This Row],[Amount of Delinquent Receivables]]+Tabelle47[[#This Row],[Amount of Delinquent Receivables2]]</f>
        <v>0</v>
      </c>
      <c r="F18" s="615">
        <f>Tabelle47[[#This Row],[Outstanding Discounted Principal Balance2]]+Tabelle47[[#This Row],[Outstanding Discounted Principal Balance23]]</f>
        <v>0</v>
      </c>
      <c r="G18" s="448">
        <f t="shared" si="0"/>
        <v>0</v>
      </c>
      <c r="H18" s="463">
        <v>0</v>
      </c>
      <c r="I18" s="463">
        <v>0</v>
      </c>
      <c r="J18" s="463">
        <v>0</v>
      </c>
      <c r="K18" s="463">
        <v>0</v>
      </c>
      <c r="L18" s="463">
        <v>0</v>
      </c>
      <c r="M18" s="463">
        <v>0</v>
      </c>
      <c r="N18" s="463">
        <v>0</v>
      </c>
      <c r="O18" s="463">
        <v>0</v>
      </c>
      <c r="P18" s="463">
        <v>0</v>
      </c>
      <c r="Q18" s="463">
        <v>0</v>
      </c>
      <c r="R18" s="463">
        <v>0</v>
      </c>
      <c r="S18" s="463">
        <v>0</v>
      </c>
    </row>
    <row r="19" spans="2:19">
      <c r="B19" s="46" t="s">
        <v>358</v>
      </c>
      <c r="C19" s="450">
        <f>Tabelle47[[#This Row],[Number of Contracts2]]+Tabelle47[[#This Row],[Number of Contracts4]]</f>
        <v>0</v>
      </c>
      <c r="D19" s="448">
        <f t="shared" ref="D19" si="2">+C19/$C$20</f>
        <v>0</v>
      </c>
      <c r="E19" s="615">
        <f>Tabelle47[[#This Row],[Amount of Delinquent Receivables]]+Tabelle47[[#This Row],[Amount of Delinquent Receivables2]]</f>
        <v>0</v>
      </c>
      <c r="F19" s="615">
        <f>Tabelle47[[#This Row],[Outstanding Discounted Principal Balance2]]+Tabelle47[[#This Row],[Outstanding Discounted Principal Balance23]]</f>
        <v>0</v>
      </c>
      <c r="G19" s="448">
        <f t="shared" si="0"/>
        <v>0</v>
      </c>
      <c r="H19" s="463">
        <v>0</v>
      </c>
      <c r="I19" s="463">
        <v>0</v>
      </c>
      <c r="J19" s="463">
        <v>0</v>
      </c>
      <c r="K19" s="463">
        <v>0</v>
      </c>
      <c r="L19" s="463">
        <v>0</v>
      </c>
      <c r="M19" s="463">
        <v>0</v>
      </c>
      <c r="N19" s="463">
        <v>0</v>
      </c>
      <c r="O19" s="463">
        <v>0</v>
      </c>
      <c r="P19" s="463">
        <v>0</v>
      </c>
      <c r="Q19" s="463">
        <v>0</v>
      </c>
      <c r="R19" s="463">
        <v>0</v>
      </c>
      <c r="S19" s="463">
        <v>0</v>
      </c>
    </row>
    <row r="20" spans="2:19">
      <c r="B20" s="278" t="s">
        <v>42</v>
      </c>
      <c r="C20" s="451">
        <f>SUM(C10:C19)</f>
        <v>3723</v>
      </c>
      <c r="D20" s="279">
        <f>Tabelle2866[[#This Row],[Number of Contracts]]/$C$20</f>
        <v>1</v>
      </c>
      <c r="E20" s="486">
        <f>SUM(E10:E19)</f>
        <v>4427494.42</v>
      </c>
      <c r="F20" s="486">
        <f>SUM(F10:F19)</f>
        <v>81074313.420000002</v>
      </c>
      <c r="G20" s="279">
        <f>Tabelle2866[[#This Row],[Amount of Delinquent Receivables]]/$E$20</f>
        <v>1</v>
      </c>
      <c r="H20" s="453">
        <f>SUM(H10:H19)</f>
        <v>2590</v>
      </c>
      <c r="I20" s="507">
        <f t="shared" ref="I20:S20" si="3">SUM(I10:I19)</f>
        <v>3287620.9899999998</v>
      </c>
      <c r="J20" s="507">
        <f t="shared" si="3"/>
        <v>55354725.589999996</v>
      </c>
      <c r="K20" s="453">
        <f t="shared" si="3"/>
        <v>1133</v>
      </c>
      <c r="L20" s="507">
        <f t="shared" si="3"/>
        <v>1139873.43</v>
      </c>
      <c r="M20" s="507">
        <f t="shared" si="3"/>
        <v>25719587.829999994</v>
      </c>
      <c r="N20" s="453">
        <f t="shared" si="3"/>
        <v>3353</v>
      </c>
      <c r="O20" s="507">
        <f t="shared" si="3"/>
        <v>3823852.1599999992</v>
      </c>
      <c r="P20" s="507">
        <f t="shared" si="3"/>
        <v>73107778.339999989</v>
      </c>
      <c r="Q20" s="453">
        <f t="shared" si="3"/>
        <v>370</v>
      </c>
      <c r="R20" s="507">
        <f t="shared" si="3"/>
        <v>603642.26000000024</v>
      </c>
      <c r="S20" s="507">
        <f t="shared" si="3"/>
        <v>7966535.0800000001</v>
      </c>
    </row>
    <row r="21" spans="2:19"/>
    <row r="22" spans="2:19"/>
    <row r="23" spans="2:19"/>
    <row r="24" spans="2:19"/>
    <row r="25" spans="2:19"/>
    <row r="26" spans="2:19"/>
    <row r="27" spans="2:19"/>
    <row r="28" spans="2:19"/>
    <row r="29" spans="2:19"/>
    <row r="30" spans="2:19"/>
    <row r="31" spans="2:19"/>
    <row r="32" spans="2:19"/>
    <row r="33"/>
    <row r="34"/>
    <row r="35"/>
    <row r="36"/>
    <row r="37"/>
    <row r="38"/>
    <row r="39"/>
    <row r="40"/>
    <row r="41"/>
    <row r="42"/>
    <row r="43"/>
    <row r="44"/>
    <row r="45"/>
    <row r="46"/>
    <row r="47"/>
    <row r="48"/>
    <row r="49"/>
    <row r="50"/>
    <row r="51"/>
    <row r="52"/>
    <row r="53"/>
    <row r="54"/>
    <row r="55"/>
    <row r="56"/>
    <row r="57"/>
    <row r="58"/>
    <row r="59"/>
    <row r="60"/>
    <row r="61" hidden="1"/>
    <row r="62" hidden="1"/>
    <row r="63"/>
    <row r="64"/>
    <row r="65" hidden="1"/>
    <row r="66" hidden="1"/>
  </sheetData>
  <mergeCells count="7">
    <mergeCell ref="Q8:S8"/>
    <mergeCell ref="N7:S7"/>
    <mergeCell ref="B7:G8"/>
    <mergeCell ref="H7:M7"/>
    <mergeCell ref="H8:J8"/>
    <mergeCell ref="K8:M8"/>
    <mergeCell ref="N8:P8"/>
  </mergeCells>
  <hyperlinks>
    <hyperlink ref="S3" location="Index!A1" display="Index"/>
  </hyperlinks>
  <printOptions horizontalCentered="1" verticalCentered="1"/>
  <pageMargins left="0.70866141732283472" right="0.70866141732283472" top="0.78740157480314965" bottom="0.78740157480314965" header="0.31496062992125984" footer="0.31496062992125984"/>
  <pageSetup paperSize="9" scale="43" orientation="landscape" r:id="rId1"/>
  <headerFooter>
    <oddFooter>&amp;C17&amp;R&amp;K00-046Banco Volkswagen S.A.
Rua Volkswagen, nº 291
São Paulo - SP - Brazil
Tel: +55 11 5582 5591
TESOU-ABS@vwfs.com</oddFooter>
  </headerFooter>
  <ignoredErrors>
    <ignoredError sqref="G20" formula="1"/>
  </ignoredErrors>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499984740745262"/>
    <pageSetUpPr fitToPage="1"/>
  </sheetPr>
  <dimension ref="A1:N30"/>
  <sheetViews>
    <sheetView showGridLines="0" zoomScale="85" zoomScaleNormal="85" workbookViewId="0">
      <selection activeCell="C9" sqref="C9"/>
    </sheetView>
  </sheetViews>
  <sheetFormatPr defaultColWidth="0" defaultRowHeight="12.75" zeroHeight="1"/>
  <cols>
    <col min="1" max="1" width="18.5703125" customWidth="1"/>
    <col min="2" max="2" width="16.5703125" bestFit="1" customWidth="1"/>
    <col min="3" max="3" width="17" customWidth="1"/>
    <col min="4" max="4" width="13.85546875" customWidth="1"/>
    <col min="5" max="5" width="19.140625" customWidth="1"/>
    <col min="6" max="6" width="0.5703125" customWidth="1"/>
    <col min="7" max="7" width="17.5703125" hidden="1" customWidth="1"/>
    <col min="8" max="9" width="11.42578125" hidden="1" customWidth="1"/>
    <col min="10" max="14" width="0" hidden="1" customWidth="1"/>
    <col min="15" max="16384" width="11.42578125" hidden="1"/>
  </cols>
  <sheetData>
    <row r="1" spans="1:7" ht="14.25" customHeight="1">
      <c r="A1" s="224"/>
      <c r="B1" s="224"/>
      <c r="C1" s="224"/>
      <c r="D1" s="224"/>
      <c r="E1" s="226" t="str">
        <f>CONCATENATE("Publication Date: ",TEXT(Input!C7,"DD.MM.AAAA"))</f>
        <v>Publication Date: 05.03.2020</v>
      </c>
    </row>
    <row r="2" spans="1:7" ht="14.25" customHeight="1">
      <c r="A2" s="224"/>
      <c r="B2" s="224"/>
      <c r="C2" s="224"/>
      <c r="D2" s="224"/>
      <c r="E2" s="134" t="str">
        <f>CONCATENATE("Period: ",TEXT(Input!$C$5,"MM.AAAA")," / Period No. ",Input!$C$6)</f>
        <v>Period: 02.2020 / Period No. 9</v>
      </c>
    </row>
    <row r="3" spans="1:7" ht="14.25" customHeight="1">
      <c r="A3" s="224"/>
      <c r="B3" s="224"/>
      <c r="C3" s="224"/>
      <c r="D3" s="224"/>
      <c r="E3" s="385" t="s">
        <v>236</v>
      </c>
    </row>
    <row r="4" spans="1:7"/>
    <row r="5" spans="1:7" ht="15.75">
      <c r="A5" s="118" t="s">
        <v>254</v>
      </c>
    </row>
    <row r="6" spans="1:7"/>
    <row r="7" spans="1:7" ht="12.75" customHeight="1">
      <c r="A7" s="833" t="s">
        <v>536</v>
      </c>
      <c r="B7" s="834"/>
      <c r="C7" s="834"/>
    </row>
    <row r="8" spans="1:7">
      <c r="A8" s="632" t="s">
        <v>41</v>
      </c>
      <c r="B8" s="633"/>
      <c r="C8" s="636">
        <v>47464</v>
      </c>
    </row>
    <row r="9" spans="1:7">
      <c r="A9" s="634" t="s">
        <v>537</v>
      </c>
      <c r="B9" s="635"/>
      <c r="C9" s="637">
        <v>1198831453.5799999</v>
      </c>
    </row>
    <row r="10" spans="1:7"/>
    <row r="11" spans="1:7" ht="51">
      <c r="A11" s="128" t="s">
        <v>538</v>
      </c>
      <c r="B11" s="609" t="s">
        <v>539</v>
      </c>
      <c r="C11" s="128" t="s">
        <v>540</v>
      </c>
      <c r="D11" s="128" t="s">
        <v>541</v>
      </c>
      <c r="E11" s="128" t="s">
        <v>542</v>
      </c>
    </row>
    <row r="12" spans="1:7">
      <c r="A12" s="638">
        <v>0</v>
      </c>
      <c r="B12" s="610">
        <v>0</v>
      </c>
      <c r="C12" s="610">
        <v>0</v>
      </c>
      <c r="D12" s="610">
        <v>0</v>
      </c>
      <c r="E12" s="610">
        <v>0</v>
      </c>
      <c r="G12" t="s">
        <v>253</v>
      </c>
    </row>
    <row r="13" spans="1:7"/>
    <row r="14" spans="1:7" hidden="1"/>
    <row r="15" spans="1:7" hidden="1"/>
    <row r="16" spans="1:7" hidden="1"/>
    <row r="17" hidden="1"/>
    <row r="18" hidden="1"/>
    <row r="19" hidden="1"/>
    <row r="20" hidden="1"/>
    <row r="21" hidden="1"/>
    <row r="22" hidden="1"/>
    <row r="23" hidden="1"/>
    <row r="24" hidden="1"/>
    <row r="25" hidden="1"/>
    <row r="26" hidden="1"/>
    <row r="27" hidden="1"/>
    <row r="28" hidden="1"/>
    <row r="29" hidden="1"/>
    <row r="30" hidden="1"/>
  </sheetData>
  <mergeCells count="1">
    <mergeCell ref="A7:C7"/>
  </mergeCells>
  <hyperlinks>
    <hyperlink ref="E3" location="Index!A1" display="Index"/>
  </hyperlinks>
  <printOptions horizontalCentered="1"/>
  <pageMargins left="0.70866141732283472" right="0.70866141732283472" top="0.78740157480314965" bottom="0.78740157480314965" header="0.31496062992125984" footer="0.31496062992125984"/>
  <pageSetup paperSize="9" orientation="landscape" r:id="rId1"/>
  <headerFooter>
    <oddFooter>&amp;C18&amp;R&amp;K00-046Banco Volkswagen S.A.
Rua Volkswagen, nº 291
São Paulo - SP - Brazil
Tel: +55 11 5582 5591
TESOU-ABS@vwfs.com</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499984740745262"/>
    <pageSetUpPr fitToPage="1"/>
  </sheetPr>
  <dimension ref="A1:R50"/>
  <sheetViews>
    <sheetView showGridLines="0" zoomScale="85" zoomScaleNormal="85" workbookViewId="0">
      <selection activeCell="G42" sqref="G42"/>
    </sheetView>
  </sheetViews>
  <sheetFormatPr defaultColWidth="0" defaultRowHeight="12.75" zeroHeight="1"/>
  <cols>
    <col min="1" max="1" width="16" bestFit="1" customWidth="1"/>
    <col min="2" max="2" width="12.140625" bestFit="1" customWidth="1"/>
    <col min="3" max="3" width="20.7109375" customWidth="1"/>
    <col min="4" max="4" width="14.7109375" customWidth="1"/>
    <col min="5" max="5" width="12.7109375" customWidth="1"/>
    <col min="6" max="6" width="21.7109375" customWidth="1"/>
    <col min="7" max="7" width="14.7109375" customWidth="1"/>
    <col min="8" max="8" width="12.85546875" customWidth="1"/>
    <col min="9" max="9" width="21.7109375" customWidth="1"/>
    <col min="10" max="10" width="12.85546875" customWidth="1"/>
    <col min="11" max="11" width="21.7109375" customWidth="1"/>
    <col min="12" max="12" width="15.140625" hidden="1" customWidth="1"/>
    <col min="13" max="13" width="19.85546875" hidden="1" customWidth="1"/>
    <col min="14" max="14" width="12.85546875" customWidth="1"/>
    <col min="15" max="15" width="21.7109375" customWidth="1"/>
    <col min="16" max="16" width="12.85546875" customWidth="1"/>
    <col min="17" max="17" width="21.7109375" customWidth="1"/>
    <col min="18" max="18" width="0.28515625" customWidth="1"/>
    <col min="19" max="16384" width="13.42578125" hidden="1"/>
  </cols>
  <sheetData>
    <row r="1" spans="1:17" ht="14.25" customHeight="1">
      <c r="C1" s="298"/>
      <c r="D1" s="209"/>
      <c r="E1" s="209"/>
      <c r="F1" s="209"/>
      <c r="G1" s="209"/>
      <c r="H1" s="224"/>
      <c r="I1" s="224"/>
      <c r="J1" s="224"/>
      <c r="K1" s="224"/>
      <c r="L1" s="224"/>
      <c r="M1" s="224"/>
      <c r="N1" s="224"/>
      <c r="O1" s="224"/>
      <c r="P1" s="224"/>
      <c r="Q1" s="226" t="str">
        <f>CONCATENATE("Publication Date: ",TEXT(Input!C7,"DD.MM.AAAA"))</f>
        <v>Publication Date: 05.03.2020</v>
      </c>
    </row>
    <row r="2" spans="1:17" ht="14.25" customHeight="1">
      <c r="C2" s="298"/>
      <c r="D2" s="209"/>
      <c r="E2" s="209"/>
      <c r="F2" s="209"/>
      <c r="G2" s="209"/>
      <c r="H2" s="224"/>
      <c r="I2" s="224"/>
      <c r="J2" s="224"/>
      <c r="K2" s="224"/>
      <c r="L2" s="224"/>
      <c r="M2" s="224"/>
      <c r="N2" s="224"/>
      <c r="O2" s="224"/>
      <c r="P2" s="224"/>
      <c r="Q2" s="134" t="str">
        <f>CONCATENATE("Period: ",TEXT(Input!$C$5,"MM.AAAA")," / Period No. ",Input!$C$6)</f>
        <v>Period: 02.2020 / Period No. 9</v>
      </c>
    </row>
    <row r="3" spans="1:17" ht="14.25" customHeight="1">
      <c r="C3" s="298"/>
      <c r="D3" s="301"/>
      <c r="E3" s="301"/>
      <c r="F3" s="301"/>
      <c r="G3" s="301"/>
      <c r="H3" s="224"/>
      <c r="I3" s="224"/>
      <c r="J3" s="224"/>
      <c r="K3" s="224"/>
      <c r="L3" s="224"/>
      <c r="M3" s="224"/>
      <c r="N3" s="224"/>
      <c r="O3" s="224"/>
      <c r="P3" s="224"/>
      <c r="Q3" s="383" t="s">
        <v>236</v>
      </c>
    </row>
    <row r="4" spans="1:17">
      <c r="C4" s="94"/>
      <c r="D4" s="94"/>
      <c r="E4" s="94"/>
      <c r="F4" s="94"/>
      <c r="G4" s="94"/>
    </row>
    <row r="5" spans="1:17" ht="15.75" customHeight="1">
      <c r="C5" s="118" t="s">
        <v>185</v>
      </c>
      <c r="D5" s="94"/>
      <c r="E5" s="94"/>
      <c r="F5" s="94"/>
      <c r="G5" s="94"/>
    </row>
    <row r="6" spans="1:17">
      <c r="C6" s="94"/>
      <c r="D6" s="94"/>
      <c r="E6" s="94"/>
      <c r="F6" s="94"/>
      <c r="G6" s="94"/>
    </row>
    <row r="7" spans="1:17">
      <c r="D7" s="798" t="s">
        <v>182</v>
      </c>
      <c r="E7" s="799"/>
      <c r="F7" s="799"/>
      <c r="G7" s="799"/>
      <c r="H7" s="837" t="s">
        <v>142</v>
      </c>
      <c r="I7" s="837"/>
      <c r="J7" s="837"/>
      <c r="K7" s="837"/>
      <c r="L7" s="837"/>
      <c r="M7" s="837"/>
      <c r="N7" s="837" t="s">
        <v>62</v>
      </c>
      <c r="O7" s="837"/>
      <c r="P7" s="837"/>
      <c r="Q7" s="837"/>
    </row>
    <row r="8" spans="1:17">
      <c r="D8" s="835"/>
      <c r="E8" s="836"/>
      <c r="F8" s="836"/>
      <c r="G8" s="836"/>
      <c r="H8" s="824" t="s">
        <v>170</v>
      </c>
      <c r="I8" s="826"/>
      <c r="J8" s="824" t="s">
        <v>171</v>
      </c>
      <c r="K8" s="826"/>
      <c r="L8" s="837"/>
      <c r="M8" s="837"/>
      <c r="N8" s="837" t="s">
        <v>172</v>
      </c>
      <c r="O8" s="837"/>
      <c r="P8" s="838" t="s">
        <v>173</v>
      </c>
      <c r="Q8" s="838"/>
    </row>
    <row r="9" spans="1:17" ht="51">
      <c r="C9" s="305" t="s">
        <v>508</v>
      </c>
      <c r="D9" s="284" t="s">
        <v>41</v>
      </c>
      <c r="E9" s="284" t="s">
        <v>169</v>
      </c>
      <c r="F9" s="213" t="s">
        <v>276</v>
      </c>
      <c r="G9" s="304" t="s">
        <v>379</v>
      </c>
      <c r="H9" s="283" t="s">
        <v>255</v>
      </c>
      <c r="I9" s="213" t="s">
        <v>276</v>
      </c>
      <c r="J9" s="284" t="s">
        <v>256</v>
      </c>
      <c r="K9" s="213" t="s">
        <v>481</v>
      </c>
      <c r="L9" s="284" t="s">
        <v>311</v>
      </c>
      <c r="M9" s="284" t="s">
        <v>312</v>
      </c>
      <c r="N9" s="284" t="s">
        <v>258</v>
      </c>
      <c r="O9" s="213" t="s">
        <v>480</v>
      </c>
      <c r="P9" s="284" t="s">
        <v>259</v>
      </c>
      <c r="Q9" s="213" t="s">
        <v>482</v>
      </c>
    </row>
    <row r="10" spans="1:17">
      <c r="A10" s="739" t="s">
        <v>644</v>
      </c>
      <c r="B10" s="738"/>
      <c r="C10" s="299">
        <v>1</v>
      </c>
      <c r="D10" s="429">
        <f>Tabelle50[[#This Row],[Number of Contracts2]]+Tabelle50[[#This Row],[Number of Contracts4]]+Tabelle50[[#This Row],[Column1]]</f>
        <v>36239</v>
      </c>
      <c r="E10" s="430">
        <f>Tabelle38[[#This Row],[Number of Contracts]]/$D$15</f>
        <v>0.96797371654468722</v>
      </c>
      <c r="F10" s="511">
        <f>Tabelle50[[#This Row],[Outstanding Discounted Principal Balance]]+Tabelle50[[#This Row],[Outstanding Discounted Principal Balance2]]+Tabelle50[[#This Row],[Column2]]</f>
        <v>652048322.67999995</v>
      </c>
      <c r="G10" s="431">
        <f>Tabelle38[[#This Row],[Outstanding Discounted Principal Balance]]/$F$15</f>
        <v>0.97503704427187943</v>
      </c>
      <c r="H10" s="432">
        <v>27327</v>
      </c>
      <c r="I10" s="481">
        <v>488686218.52999997</v>
      </c>
      <c r="J10" s="434">
        <v>8912</v>
      </c>
      <c r="K10" s="481">
        <v>163362104.15000001</v>
      </c>
      <c r="L10" s="434"/>
      <c r="M10" s="433"/>
      <c r="N10" s="434">
        <v>33643</v>
      </c>
      <c r="O10" s="481">
        <v>597980187.29999995</v>
      </c>
      <c r="P10" s="434">
        <v>2596</v>
      </c>
      <c r="Q10" s="434">
        <v>54068135.380000003</v>
      </c>
    </row>
    <row r="11" spans="1:17">
      <c r="A11" s="739" t="s">
        <v>645</v>
      </c>
      <c r="B11" s="739" t="s">
        <v>646</v>
      </c>
      <c r="C11" s="509" t="s">
        <v>361</v>
      </c>
      <c r="D11" s="429">
        <f>Tabelle50[[#This Row],[Number of Contracts2]]+Tabelle50[[#This Row],[Number of Contracts4]]+Tabelle50[[#This Row],[Column1]]</f>
        <v>801</v>
      </c>
      <c r="E11" s="430">
        <f>Tabelle38[[#This Row],[Number of Contracts]]/$D$15</f>
        <v>2.1395373684491691E-2</v>
      </c>
      <c r="F11" s="511">
        <f>Tabelle50[[#This Row],[Outstanding Discounted Principal Balance]]+Tabelle50[[#This Row],[Outstanding Discounted Principal Balance2]]+Tabelle50[[#This Row],[Column2]]</f>
        <v>13217890.790000001</v>
      </c>
      <c r="G11" s="431">
        <f>Tabelle38[[#This Row],[Outstanding Discounted Principal Balance]]/$F$15</f>
        <v>1.9765303765247159E-2</v>
      </c>
      <c r="H11" s="432">
        <v>758</v>
      </c>
      <c r="I11" s="481">
        <v>12420836.050000001</v>
      </c>
      <c r="J11" s="434">
        <v>43</v>
      </c>
      <c r="K11" s="481">
        <v>797054.74</v>
      </c>
      <c r="L11" s="434"/>
      <c r="M11" s="433"/>
      <c r="N11" s="434">
        <v>157</v>
      </c>
      <c r="O11" s="481">
        <v>2534224.33</v>
      </c>
      <c r="P11" s="434">
        <v>644</v>
      </c>
      <c r="Q11" s="434">
        <v>10683666.460000001</v>
      </c>
    </row>
    <row r="12" spans="1:17">
      <c r="A12" s="739" t="s">
        <v>647</v>
      </c>
      <c r="B12" s="739" t="s">
        <v>648</v>
      </c>
      <c r="C12" s="510" t="s">
        <v>362</v>
      </c>
      <c r="D12" s="429">
        <f>Tabelle50[[#This Row],[Number of Contracts2]]+Tabelle50[[#This Row],[Number of Contracts4]]+Tabelle50[[#This Row],[Column1]]</f>
        <v>262</v>
      </c>
      <c r="E12" s="430">
        <f>Tabelle38[[#This Row],[Number of Contracts]]/$D$15</f>
        <v>6.9982370853143867E-3</v>
      </c>
      <c r="F12" s="511">
        <f>Tabelle50[[#This Row],[Outstanding Discounted Principal Balance]]+Tabelle50[[#This Row],[Outstanding Discounted Principal Balance2]]+Tabelle50[[#This Row],[Column2]]</f>
        <v>2587877.08</v>
      </c>
      <c r="G12" s="431">
        <f>Tabelle38[[#This Row],[Outstanding Discounted Principal Balance]]/$F$15</f>
        <v>3.8697684377917924E-3</v>
      </c>
      <c r="H12" s="432">
        <v>262</v>
      </c>
      <c r="I12" s="481">
        <v>2587877.08</v>
      </c>
      <c r="J12" s="434">
        <v>0</v>
      </c>
      <c r="K12" s="481">
        <v>0</v>
      </c>
      <c r="L12" s="434"/>
      <c r="M12" s="433"/>
      <c r="N12" s="434">
        <v>0</v>
      </c>
      <c r="O12" s="481">
        <v>0</v>
      </c>
      <c r="P12" s="434">
        <v>262</v>
      </c>
      <c r="Q12" s="434">
        <v>2587877.08</v>
      </c>
    </row>
    <row r="13" spans="1:17">
      <c r="A13" s="739" t="s">
        <v>649</v>
      </c>
      <c r="B13" s="738"/>
      <c r="C13" s="509" t="s">
        <v>360</v>
      </c>
      <c r="D13" s="429">
        <f>Tabelle50[[#This Row],[Number of Contracts2]]+Tabelle50[[#This Row],[Number of Contracts4]]+Tabelle50[[#This Row],[Column1]]</f>
        <v>132</v>
      </c>
      <c r="E13" s="430">
        <f>Tabelle38[[#This Row],[Number of Contracts]]/$D$15</f>
        <v>3.5258293712270954E-3</v>
      </c>
      <c r="F13" s="511">
        <f>Tabelle50[[#This Row],[Outstanding Discounted Principal Balance]]+Tabelle50[[#This Row],[Outstanding Discounted Principal Balance2]]+Tabelle50[[#This Row],[Column2]]</f>
        <v>859225.93</v>
      </c>
      <c r="G13" s="431">
        <f>Tabelle38[[#This Row],[Outstanding Discounted Principal Balance]]/$F$15</f>
        <v>1.2848389943027356E-3</v>
      </c>
      <c r="H13" s="432">
        <v>132</v>
      </c>
      <c r="I13" s="481">
        <v>859225.93</v>
      </c>
      <c r="J13" s="434">
        <v>0</v>
      </c>
      <c r="K13" s="481">
        <v>0</v>
      </c>
      <c r="L13" s="434"/>
      <c r="M13" s="433"/>
      <c r="N13" s="434">
        <v>0</v>
      </c>
      <c r="O13" s="481">
        <v>0</v>
      </c>
      <c r="P13" s="434">
        <v>132</v>
      </c>
      <c r="Q13" s="434">
        <v>859225.93</v>
      </c>
    </row>
    <row r="14" spans="1:17">
      <c r="A14" s="739" t="s">
        <v>650</v>
      </c>
      <c r="B14" s="738"/>
      <c r="C14" s="299" t="s">
        <v>359</v>
      </c>
      <c r="D14" s="429">
        <f>Tabelle50[[#This Row],[Number of Contracts2]]+Tabelle50[[#This Row],[Number of Contracts4]]+Tabelle50[[#This Row],[Column1]]</f>
        <v>4</v>
      </c>
      <c r="E14" s="430">
        <f>Tabelle38[[#This Row],[Number of Contracts]]/$D$15</f>
        <v>1.0684331427960895E-4</v>
      </c>
      <c r="F14" s="511">
        <f>Tabelle50[[#This Row],[Outstanding Discounted Principal Balance]]+Tabelle50[[#This Row],[Outstanding Discounted Principal Balance2]]+Tabelle50[[#This Row],[Column2]]</f>
        <v>28785.69</v>
      </c>
      <c r="G14" s="431">
        <f>Tabelle38[[#This Row],[Outstanding Discounted Principal Balance]]/$F$15</f>
        <v>4.3044530778895733E-5</v>
      </c>
      <c r="H14" s="432">
        <v>4</v>
      </c>
      <c r="I14" s="481">
        <v>28785.69</v>
      </c>
      <c r="J14" s="434">
        <v>0</v>
      </c>
      <c r="K14" s="481">
        <v>0</v>
      </c>
      <c r="L14" s="434"/>
      <c r="M14" s="433"/>
      <c r="N14" s="434">
        <v>0</v>
      </c>
      <c r="O14" s="481">
        <v>0</v>
      </c>
      <c r="P14" s="434">
        <v>4</v>
      </c>
      <c r="Q14" s="434">
        <v>28785.69</v>
      </c>
    </row>
    <row r="15" spans="1:17">
      <c r="C15" s="300" t="s">
        <v>42</v>
      </c>
      <c r="D15" s="357">
        <f>Tabelle50[[#This Row],[Number of Contracts2]]+Tabelle50[[#This Row],[Number of Contracts4]]+Tabelle50[[#This Row],[Column1]]</f>
        <v>37438</v>
      </c>
      <c r="E15" s="358">
        <v>1</v>
      </c>
      <c r="F15" s="512">
        <f>Tabelle50[[#This Row],[Outstanding Discounted Principal Balance]]+Tabelle50[[#This Row],[Outstanding Discounted Principal Balance2]]+Tabelle50[[#This Row],[Column2]]</f>
        <v>668742102.16999996</v>
      </c>
      <c r="G15" s="359">
        <v>1</v>
      </c>
      <c r="H15" s="402">
        <f>SUM(H10:H14)</f>
        <v>28483</v>
      </c>
      <c r="I15" s="508">
        <f t="shared" ref="I15:Q15" si="0">SUM(I10:I14)</f>
        <v>504582943.27999997</v>
      </c>
      <c r="J15" s="404">
        <f>SUM(J10:J14)</f>
        <v>8955</v>
      </c>
      <c r="K15" s="508">
        <f t="shared" si="0"/>
        <v>164159158.89000002</v>
      </c>
      <c r="L15" s="404"/>
      <c r="M15" s="403"/>
      <c r="N15" s="402">
        <f>SUM(N10:N14)</f>
        <v>33800</v>
      </c>
      <c r="O15" s="508">
        <f t="shared" si="0"/>
        <v>600514411.63</v>
      </c>
      <c r="P15" s="402">
        <f>SUM(P10:P14)</f>
        <v>3638</v>
      </c>
      <c r="Q15" s="508">
        <f t="shared" si="0"/>
        <v>68227690.540000007</v>
      </c>
    </row>
    <row r="16" spans="1:17"/>
    <row r="17" spans="3:17">
      <c r="D17" s="798" t="s">
        <v>182</v>
      </c>
      <c r="E17" s="799"/>
      <c r="F17" s="799"/>
      <c r="G17" s="799"/>
      <c r="H17" s="837" t="s">
        <v>142</v>
      </c>
      <c r="I17" s="837"/>
      <c r="J17" s="837"/>
      <c r="K17" s="837"/>
      <c r="L17" s="837"/>
      <c r="M17" s="837"/>
      <c r="N17" s="837" t="s">
        <v>62</v>
      </c>
      <c r="O17" s="837"/>
      <c r="P17" s="837"/>
      <c r="Q17" s="837"/>
    </row>
    <row r="18" spans="3:17">
      <c r="D18" s="835"/>
      <c r="E18" s="836"/>
      <c r="F18" s="836"/>
      <c r="G18" s="836"/>
      <c r="H18" s="839" t="s">
        <v>170</v>
      </c>
      <c r="I18" s="840"/>
      <c r="J18" s="839" t="s">
        <v>171</v>
      </c>
      <c r="K18" s="840"/>
      <c r="L18" s="841"/>
      <c r="M18" s="841"/>
      <c r="N18" s="841" t="s">
        <v>172</v>
      </c>
      <c r="O18" s="841"/>
      <c r="P18" s="842" t="s">
        <v>173</v>
      </c>
      <c r="Q18" s="842"/>
    </row>
    <row r="19" spans="3:17" s="113" customFormat="1" ht="51">
      <c r="C19" s="307" t="s">
        <v>363</v>
      </c>
      <c r="D19" s="308" t="s">
        <v>183</v>
      </c>
      <c r="E19" s="308" t="s">
        <v>169</v>
      </c>
      <c r="F19" s="213" t="s">
        <v>276</v>
      </c>
      <c r="G19" s="353" t="s">
        <v>379</v>
      </c>
      <c r="H19" s="283" t="s">
        <v>255</v>
      </c>
      <c r="I19" s="213" t="s">
        <v>276</v>
      </c>
      <c r="J19" s="284" t="s">
        <v>256</v>
      </c>
      <c r="K19" s="213" t="s">
        <v>481</v>
      </c>
      <c r="L19" s="284" t="s">
        <v>311</v>
      </c>
      <c r="M19" s="284" t="s">
        <v>312</v>
      </c>
      <c r="N19" s="284" t="s">
        <v>258</v>
      </c>
      <c r="O19" s="213" t="s">
        <v>480</v>
      </c>
      <c r="P19" s="284" t="s">
        <v>259</v>
      </c>
      <c r="Q19" s="213" t="s">
        <v>482</v>
      </c>
    </row>
    <row r="20" spans="3:17">
      <c r="C20" s="299">
        <v>1</v>
      </c>
      <c r="D20" s="113">
        <f>Tabelle63[[#This Row],[Number of Contracts2]]+Tabelle63[[#This Row],[Number of Contracts4]]+Tabelle63[[#This Row],[Column1]]</f>
        <v>1</v>
      </c>
      <c r="E20" s="435">
        <f>Tabelle39[[#This Row],[Contract Concentration]]/$D$42</f>
        <v>2.6710828569902237E-5</v>
      </c>
      <c r="F20" s="468">
        <f>Tabelle63[[#This Row],[Outstanding Discounted Principal Balance]]+Tabelle63[[#This Row],[Outstanding Discounted Principal Balance2]]+Tabelle63[[#This Row],[Column2]]</f>
        <v>84475.12</v>
      </c>
      <c r="G20" s="436">
        <f>Tabelle39[[#This Row],[Outstanding Discounted Principal Balance]]/$F$42</f>
        <v>1.2631942826074033E-4</v>
      </c>
      <c r="H20" s="396">
        <v>1</v>
      </c>
      <c r="I20" s="480">
        <v>84475.12</v>
      </c>
      <c r="J20" s="396">
        <v>0</v>
      </c>
      <c r="K20" s="480">
        <v>0</v>
      </c>
      <c r="L20" s="398">
        <v>0</v>
      </c>
      <c r="M20" s="397">
        <v>0</v>
      </c>
      <c r="N20" s="396">
        <v>1</v>
      </c>
      <c r="O20" s="480">
        <v>84475.12</v>
      </c>
      <c r="P20" s="405">
        <v>0</v>
      </c>
      <c r="Q20" s="513">
        <v>0</v>
      </c>
    </row>
    <row r="21" spans="3:17">
      <c r="C21" s="299">
        <v>2</v>
      </c>
      <c r="D21" s="113">
        <f>Tabelle63[[#This Row],[Number of Contracts2]]+Tabelle63[[#This Row],[Number of Contracts4]]+Tabelle63[[#This Row],[Column1]]</f>
        <v>1</v>
      </c>
      <c r="E21" s="435">
        <f>Tabelle39[[#This Row],[Contract Concentration]]/$D$42</f>
        <v>2.6710828569902237E-5</v>
      </c>
      <c r="F21" s="468">
        <f>Tabelle63[[#This Row],[Outstanding Discounted Principal Balance]]+Tabelle63[[#This Row],[Outstanding Discounted Principal Balance2]]+Tabelle63[[#This Row],[Column2]]</f>
        <v>81011.990000000005</v>
      </c>
      <c r="G21" s="436">
        <f>Tabelle39[[#This Row],[Outstanding Discounted Principal Balance]]/$F$42</f>
        <v>1.2114085495308932E-4</v>
      </c>
      <c r="H21" s="396">
        <v>1</v>
      </c>
      <c r="I21" s="480">
        <v>81011.990000000005</v>
      </c>
      <c r="J21" s="396">
        <v>0</v>
      </c>
      <c r="K21" s="480">
        <v>0</v>
      </c>
      <c r="L21" s="398">
        <v>0</v>
      </c>
      <c r="M21" s="397">
        <v>0</v>
      </c>
      <c r="N21" s="396">
        <v>1</v>
      </c>
      <c r="O21" s="480">
        <v>81011.990000000005</v>
      </c>
      <c r="P21" s="405">
        <v>0</v>
      </c>
      <c r="Q21" s="513">
        <v>0</v>
      </c>
    </row>
    <row r="22" spans="3:17">
      <c r="C22" s="299">
        <v>3</v>
      </c>
      <c r="D22" s="113">
        <f>Tabelle63[[#This Row],[Number of Contracts2]]+Tabelle63[[#This Row],[Number of Contracts4]]+Tabelle63[[#This Row],[Column1]]</f>
        <v>1</v>
      </c>
      <c r="E22" s="435">
        <f>Tabelle39[[#This Row],[Contract Concentration]]/$D$42</f>
        <v>2.6710828569902237E-5</v>
      </c>
      <c r="F22" s="468">
        <f>Tabelle63[[#This Row],[Outstanding Discounted Principal Balance]]+Tabelle63[[#This Row],[Outstanding Discounted Principal Balance2]]+Tabelle63[[#This Row],[Column2]]</f>
        <v>75388.679999999993</v>
      </c>
      <c r="G22" s="436">
        <f>Tabelle39[[#This Row],[Outstanding Discounted Principal Balance]]/$F$42</f>
        <v>1.1273206779619738E-4</v>
      </c>
      <c r="H22" s="396">
        <v>1</v>
      </c>
      <c r="I22" s="480">
        <v>75388.679999999993</v>
      </c>
      <c r="J22" s="396">
        <v>0</v>
      </c>
      <c r="K22" s="480">
        <v>0</v>
      </c>
      <c r="L22" s="398">
        <v>0</v>
      </c>
      <c r="M22" s="397">
        <v>0</v>
      </c>
      <c r="N22" s="396">
        <v>1</v>
      </c>
      <c r="O22" s="480">
        <v>75388.679999999993</v>
      </c>
      <c r="P22" s="405">
        <v>0</v>
      </c>
      <c r="Q22" s="513">
        <v>0</v>
      </c>
    </row>
    <row r="23" spans="3:17">
      <c r="C23" s="299">
        <v>4</v>
      </c>
      <c r="D23" s="113">
        <f>Tabelle63[[#This Row],[Number of Contracts2]]+Tabelle63[[#This Row],[Number of Contracts4]]+Tabelle63[[#This Row],[Column1]]</f>
        <v>1</v>
      </c>
      <c r="E23" s="435">
        <f>Tabelle39[[#This Row],[Contract Concentration]]/$D$42</f>
        <v>2.6710828569902237E-5</v>
      </c>
      <c r="F23" s="468">
        <f>Tabelle63[[#This Row],[Outstanding Discounted Principal Balance]]+Tabelle63[[#This Row],[Outstanding Discounted Principal Balance2]]+Tabelle63[[#This Row],[Column2]]</f>
        <v>75066.97</v>
      </c>
      <c r="G23" s="436">
        <f>Tabelle39[[#This Row],[Outstanding Discounted Principal Balance]]/$F$42</f>
        <v>1.1225100043262618E-4</v>
      </c>
      <c r="H23" s="396">
        <v>1</v>
      </c>
      <c r="I23" s="480">
        <v>75066.97</v>
      </c>
      <c r="J23" s="396">
        <v>0</v>
      </c>
      <c r="K23" s="480">
        <v>0</v>
      </c>
      <c r="L23" s="398">
        <v>0</v>
      </c>
      <c r="M23" s="397">
        <v>0</v>
      </c>
      <c r="N23" s="396">
        <v>1</v>
      </c>
      <c r="O23" s="480">
        <v>75066.97</v>
      </c>
      <c r="P23" s="405">
        <v>0</v>
      </c>
      <c r="Q23" s="513">
        <v>0</v>
      </c>
    </row>
    <row r="24" spans="3:17">
      <c r="C24" s="299">
        <v>5</v>
      </c>
      <c r="D24" s="113">
        <f>Tabelle63[[#This Row],[Number of Contracts2]]+Tabelle63[[#This Row],[Number of Contracts4]]+Tabelle63[[#This Row],[Column1]]</f>
        <v>2</v>
      </c>
      <c r="E24" s="435">
        <f>Tabelle39[[#This Row],[Contract Concentration]]/$D$42</f>
        <v>5.3421657139804475E-5</v>
      </c>
      <c r="F24" s="468">
        <f>Tabelle63[[#This Row],[Outstanding Discounted Principal Balance]]+Tabelle63[[#This Row],[Outstanding Discounted Principal Balance2]]+Tabelle63[[#This Row],[Column2]]</f>
        <v>74764.02</v>
      </c>
      <c r="G24" s="436">
        <f>Tabelle39[[#This Row],[Outstanding Discounted Principal Balance]]/$F$42</f>
        <v>1.1179798573680105E-4</v>
      </c>
      <c r="H24" s="396">
        <v>0</v>
      </c>
      <c r="I24" s="480">
        <v>0</v>
      </c>
      <c r="J24" s="396">
        <v>2</v>
      </c>
      <c r="K24" s="480">
        <v>74764.02</v>
      </c>
      <c r="L24" s="398">
        <v>0</v>
      </c>
      <c r="M24" s="397">
        <v>0</v>
      </c>
      <c r="N24" s="396">
        <v>2</v>
      </c>
      <c r="O24" s="480">
        <v>74764.02</v>
      </c>
      <c r="P24" s="405">
        <v>0</v>
      </c>
      <c r="Q24" s="513">
        <v>0</v>
      </c>
    </row>
    <row r="25" spans="3:17">
      <c r="C25" s="299">
        <v>6</v>
      </c>
      <c r="D25" s="113">
        <f>Tabelle63[[#This Row],[Number of Contracts2]]+Tabelle63[[#This Row],[Number of Contracts4]]+Tabelle63[[#This Row],[Column1]]</f>
        <v>1</v>
      </c>
      <c r="E25" s="435">
        <f>Tabelle39[[#This Row],[Contract Concentration]]/$D$42</f>
        <v>2.6710828569902237E-5</v>
      </c>
      <c r="F25" s="468">
        <f>Tabelle63[[#This Row],[Outstanding Discounted Principal Balance]]+Tabelle63[[#This Row],[Outstanding Discounted Principal Balance2]]+Tabelle63[[#This Row],[Column2]]</f>
        <v>74751.41</v>
      </c>
      <c r="G25" s="436">
        <f>Tabelle39[[#This Row],[Outstanding Discounted Principal Balance]]/$F$42</f>
        <v>1.1177912943934485E-4</v>
      </c>
      <c r="H25" s="396">
        <v>0</v>
      </c>
      <c r="I25" s="480">
        <v>0</v>
      </c>
      <c r="J25" s="396">
        <v>1</v>
      </c>
      <c r="K25" s="480">
        <v>74751.41</v>
      </c>
      <c r="L25" s="398">
        <v>0</v>
      </c>
      <c r="M25" s="397">
        <v>0</v>
      </c>
      <c r="N25" s="396">
        <v>1</v>
      </c>
      <c r="O25" s="480">
        <v>74751.41</v>
      </c>
      <c r="P25" s="405">
        <v>0</v>
      </c>
      <c r="Q25" s="513">
        <v>0</v>
      </c>
    </row>
    <row r="26" spans="3:17">
      <c r="C26" s="299">
        <v>7</v>
      </c>
      <c r="D26" s="113">
        <f>Tabelle63[[#This Row],[Number of Contracts2]]+Tabelle63[[#This Row],[Number of Contracts4]]+Tabelle63[[#This Row],[Column1]]</f>
        <v>1</v>
      </c>
      <c r="E26" s="435">
        <f>Tabelle39[[#This Row],[Contract Concentration]]/$D$42</f>
        <v>2.6710828569902237E-5</v>
      </c>
      <c r="F26" s="468">
        <f>Tabelle63[[#This Row],[Outstanding Discounted Principal Balance]]+Tabelle63[[#This Row],[Outstanding Discounted Principal Balance2]]+Tabelle63[[#This Row],[Column2]]</f>
        <v>74468.240000000005</v>
      </c>
      <c r="G26" s="436">
        <f>Tabelle39[[#This Row],[Outstanding Discounted Principal Balance]]/$F$42</f>
        <v>1.1135569266292365E-4</v>
      </c>
      <c r="H26" s="396">
        <v>1</v>
      </c>
      <c r="I26" s="480">
        <v>74468.240000000005</v>
      </c>
      <c r="J26" s="396">
        <v>0</v>
      </c>
      <c r="K26" s="480">
        <v>0</v>
      </c>
      <c r="L26" s="398">
        <v>0</v>
      </c>
      <c r="M26" s="397">
        <v>0</v>
      </c>
      <c r="N26" s="396">
        <v>1</v>
      </c>
      <c r="O26" s="480">
        <v>74468.240000000005</v>
      </c>
      <c r="P26" s="405">
        <v>0</v>
      </c>
      <c r="Q26" s="513">
        <v>0</v>
      </c>
    </row>
    <row r="27" spans="3:17">
      <c r="C27" s="299">
        <v>8</v>
      </c>
      <c r="D27" s="113">
        <f>Tabelle63[[#This Row],[Number of Contracts2]]+Tabelle63[[#This Row],[Number of Contracts4]]+Tabelle63[[#This Row],[Column1]]</f>
        <v>1</v>
      </c>
      <c r="E27" s="435">
        <f>Tabelle39[[#This Row],[Contract Concentration]]/$D$42</f>
        <v>2.6710828569902237E-5</v>
      </c>
      <c r="F27" s="468">
        <f>Tabelle63[[#This Row],[Outstanding Discounted Principal Balance]]+Tabelle63[[#This Row],[Outstanding Discounted Principal Balance2]]+Tabelle63[[#This Row],[Column2]]</f>
        <v>73996.509999999995</v>
      </c>
      <c r="G27" s="436">
        <f>Tabelle39[[#This Row],[Outstanding Discounted Principal Balance]]/$F$42</f>
        <v>1.1065029367806942E-4</v>
      </c>
      <c r="H27" s="396">
        <v>1</v>
      </c>
      <c r="I27" s="480">
        <v>73996.509999999995</v>
      </c>
      <c r="J27" s="396">
        <v>0</v>
      </c>
      <c r="K27" s="480">
        <v>0</v>
      </c>
      <c r="L27" s="398">
        <v>0</v>
      </c>
      <c r="M27" s="397">
        <v>0</v>
      </c>
      <c r="N27" s="396">
        <v>1</v>
      </c>
      <c r="O27" s="480">
        <v>73996.509999999995</v>
      </c>
      <c r="P27" s="405">
        <v>0</v>
      </c>
      <c r="Q27" s="513">
        <v>0</v>
      </c>
    </row>
    <row r="28" spans="3:17">
      <c r="C28" s="299">
        <v>9</v>
      </c>
      <c r="D28" s="113">
        <f>Tabelle63[[#This Row],[Number of Contracts2]]+Tabelle63[[#This Row],[Number of Contracts4]]+Tabelle63[[#This Row],[Column1]]</f>
        <v>1</v>
      </c>
      <c r="E28" s="435">
        <f>Tabelle39[[#This Row],[Contract Concentration]]/$D$42</f>
        <v>2.6710828569902237E-5</v>
      </c>
      <c r="F28" s="468">
        <f>Tabelle63[[#This Row],[Outstanding Discounted Principal Balance]]+Tabelle63[[#This Row],[Outstanding Discounted Principal Balance2]]+Tabelle63[[#This Row],[Column2]]</f>
        <v>73835.83</v>
      </c>
      <c r="G28" s="436">
        <f>Tabelle39[[#This Row],[Outstanding Discounted Principal Balance]]/$F$42</f>
        <v>1.1041002168161726E-4</v>
      </c>
      <c r="H28" s="396">
        <v>1</v>
      </c>
      <c r="I28" s="480">
        <v>73835.83</v>
      </c>
      <c r="J28" s="396">
        <v>0</v>
      </c>
      <c r="K28" s="480">
        <v>0</v>
      </c>
      <c r="L28" s="398">
        <v>0</v>
      </c>
      <c r="M28" s="397">
        <v>0</v>
      </c>
      <c r="N28" s="396">
        <v>1</v>
      </c>
      <c r="O28" s="480">
        <v>73835.83</v>
      </c>
      <c r="P28" s="405">
        <v>0</v>
      </c>
      <c r="Q28" s="513">
        <v>0</v>
      </c>
    </row>
    <row r="29" spans="3:17">
      <c r="C29" s="299">
        <v>10</v>
      </c>
      <c r="D29" s="113">
        <f>Tabelle63[[#This Row],[Number of Contracts2]]+Tabelle63[[#This Row],[Number of Contracts4]]+Tabelle63[[#This Row],[Column1]]</f>
        <v>1</v>
      </c>
      <c r="E29" s="435">
        <f>Tabelle39[[#This Row],[Contract Concentration]]/$D$42</f>
        <v>2.6710828569902237E-5</v>
      </c>
      <c r="F29" s="468">
        <f>Tabelle63[[#This Row],[Outstanding Discounted Principal Balance]]+Tabelle63[[#This Row],[Outstanding Discounted Principal Balance2]]+Tabelle63[[#This Row],[Column2]]</f>
        <v>73562.929999999993</v>
      </c>
      <c r="G29" s="436">
        <f>Tabelle39[[#This Row],[Outstanding Discounted Principal Balance]]/$F$42</f>
        <v>1.100019420959078E-4</v>
      </c>
      <c r="H29" s="396">
        <v>1</v>
      </c>
      <c r="I29" s="480">
        <v>73562.929999999993</v>
      </c>
      <c r="J29" s="396">
        <v>0</v>
      </c>
      <c r="K29" s="480">
        <v>0</v>
      </c>
      <c r="L29" s="398">
        <v>0</v>
      </c>
      <c r="M29" s="397">
        <v>0</v>
      </c>
      <c r="N29" s="396">
        <v>1</v>
      </c>
      <c r="O29" s="480">
        <v>73562.929999999993</v>
      </c>
      <c r="P29" s="405">
        <v>0</v>
      </c>
      <c r="Q29" s="513">
        <v>0</v>
      </c>
    </row>
    <row r="30" spans="3:17">
      <c r="C30" s="299">
        <v>11</v>
      </c>
      <c r="D30" s="113">
        <f>Tabelle63[[#This Row],[Number of Contracts2]]+Tabelle63[[#This Row],[Number of Contracts4]]+Tabelle63[[#This Row],[Column1]]</f>
        <v>1</v>
      </c>
      <c r="E30" s="435">
        <f>Tabelle39[[#This Row],[Contract Concentration]]/$D$42</f>
        <v>2.6710828569902237E-5</v>
      </c>
      <c r="F30" s="468">
        <f>Tabelle63[[#This Row],[Outstanding Discounted Principal Balance]]+Tabelle63[[#This Row],[Outstanding Discounted Principal Balance2]]+Tabelle63[[#This Row],[Column2]]</f>
        <v>73392.61</v>
      </c>
      <c r="G30" s="436">
        <f>Tabelle39[[#This Row],[Outstanding Discounted Principal Balance]]/$F$42</f>
        <v>1.0974725497594433E-4</v>
      </c>
      <c r="H30" s="396">
        <v>1</v>
      </c>
      <c r="I30" s="480">
        <v>73392.61</v>
      </c>
      <c r="J30" s="396">
        <v>0</v>
      </c>
      <c r="K30" s="480">
        <v>0</v>
      </c>
      <c r="L30" s="398">
        <v>0</v>
      </c>
      <c r="M30" s="397">
        <v>0</v>
      </c>
      <c r="N30" s="396">
        <v>1</v>
      </c>
      <c r="O30" s="480">
        <v>73392.61</v>
      </c>
      <c r="P30" s="405">
        <v>0</v>
      </c>
      <c r="Q30" s="513">
        <v>0</v>
      </c>
    </row>
    <row r="31" spans="3:17">
      <c r="C31" s="299">
        <v>12</v>
      </c>
      <c r="D31" s="113">
        <f>Tabelle63[[#This Row],[Number of Contracts2]]+Tabelle63[[#This Row],[Number of Contracts4]]+Tabelle63[[#This Row],[Column1]]</f>
        <v>1</v>
      </c>
      <c r="E31" s="435">
        <f>Tabelle39[[#This Row],[Contract Concentration]]/$D$42</f>
        <v>2.6710828569902237E-5</v>
      </c>
      <c r="F31" s="468">
        <f>Tabelle63[[#This Row],[Outstanding Discounted Principal Balance]]+Tabelle63[[#This Row],[Outstanding Discounted Principal Balance2]]+Tabelle63[[#This Row],[Column2]]</f>
        <v>73358.429999999993</v>
      </c>
      <c r="G31" s="436">
        <f>Tabelle39[[#This Row],[Outstanding Discounted Principal Balance]]/$F$42</f>
        <v>1.0969614409195916E-4</v>
      </c>
      <c r="H31" s="396">
        <v>1</v>
      </c>
      <c r="I31" s="480">
        <v>73358.429999999993</v>
      </c>
      <c r="J31" s="396">
        <v>0</v>
      </c>
      <c r="K31" s="480">
        <v>0</v>
      </c>
      <c r="L31" s="398">
        <v>0</v>
      </c>
      <c r="M31" s="397">
        <v>0</v>
      </c>
      <c r="N31" s="396">
        <v>1</v>
      </c>
      <c r="O31" s="480">
        <v>73358.429999999993</v>
      </c>
      <c r="P31" s="405">
        <v>0</v>
      </c>
      <c r="Q31" s="513">
        <v>0</v>
      </c>
    </row>
    <row r="32" spans="3:17">
      <c r="C32" s="299">
        <v>13</v>
      </c>
      <c r="D32" s="113">
        <f>Tabelle63[[#This Row],[Number of Contracts2]]+Tabelle63[[#This Row],[Number of Contracts4]]+Tabelle63[[#This Row],[Column1]]</f>
        <v>1</v>
      </c>
      <c r="E32" s="435">
        <f>Tabelle39[[#This Row],[Contract Concentration]]/$D$42</f>
        <v>2.6710828569902237E-5</v>
      </c>
      <c r="F32" s="468">
        <f>Tabelle63[[#This Row],[Outstanding Discounted Principal Balance]]+Tabelle63[[#This Row],[Outstanding Discounted Principal Balance2]]+Tabelle63[[#This Row],[Column2]]</f>
        <v>73141.69</v>
      </c>
      <c r="G32" s="436">
        <f>Tabelle39[[#This Row],[Outstanding Discounted Principal Balance]]/$F$42</f>
        <v>1.0937204306811651E-4</v>
      </c>
      <c r="H32" s="396">
        <v>1</v>
      </c>
      <c r="I32" s="480">
        <v>73141.69</v>
      </c>
      <c r="J32" s="396">
        <v>0</v>
      </c>
      <c r="K32" s="480">
        <v>0</v>
      </c>
      <c r="L32" s="398">
        <v>0</v>
      </c>
      <c r="M32" s="397">
        <v>0</v>
      </c>
      <c r="N32" s="396">
        <v>1</v>
      </c>
      <c r="O32" s="480">
        <v>73141.69</v>
      </c>
      <c r="P32" s="405">
        <v>0</v>
      </c>
      <c r="Q32" s="513">
        <v>0</v>
      </c>
    </row>
    <row r="33" spans="3:17">
      <c r="C33" s="299">
        <v>14</v>
      </c>
      <c r="D33" s="113">
        <f>Tabelle63[[#This Row],[Number of Contracts2]]+Tabelle63[[#This Row],[Number of Contracts4]]+Tabelle63[[#This Row],[Column1]]</f>
        <v>1</v>
      </c>
      <c r="E33" s="435">
        <f>Tabelle39[[#This Row],[Contract Concentration]]/$D$42</f>
        <v>2.6710828569902237E-5</v>
      </c>
      <c r="F33" s="468">
        <f>Tabelle63[[#This Row],[Outstanding Discounted Principal Balance]]+Tabelle63[[#This Row],[Outstanding Discounted Principal Balance2]]+Tabelle63[[#This Row],[Column2]]</f>
        <v>73016.14</v>
      </c>
      <c r="G33" s="436">
        <f>Tabelle39[[#This Row],[Outstanding Discounted Principal Balance]]/$F$42</f>
        <v>1.0918430253317394E-4</v>
      </c>
      <c r="H33" s="396">
        <v>1</v>
      </c>
      <c r="I33" s="480">
        <v>73016.14</v>
      </c>
      <c r="J33" s="396">
        <v>0</v>
      </c>
      <c r="K33" s="480">
        <v>0</v>
      </c>
      <c r="L33" s="398">
        <v>0</v>
      </c>
      <c r="M33" s="397">
        <v>0</v>
      </c>
      <c r="N33" s="396">
        <v>1</v>
      </c>
      <c r="O33" s="480">
        <v>73016.14</v>
      </c>
      <c r="P33" s="405">
        <v>0</v>
      </c>
      <c r="Q33" s="513">
        <v>0</v>
      </c>
    </row>
    <row r="34" spans="3:17">
      <c r="C34" s="299">
        <v>15</v>
      </c>
      <c r="D34" s="113">
        <f>Tabelle63[[#This Row],[Number of Contracts2]]+Tabelle63[[#This Row],[Number of Contracts4]]+Tabelle63[[#This Row],[Column1]]</f>
        <v>1</v>
      </c>
      <c r="E34" s="435">
        <f>Tabelle39[[#This Row],[Contract Concentration]]/$D$42</f>
        <v>2.6710828569902237E-5</v>
      </c>
      <c r="F34" s="468">
        <f>Tabelle63[[#This Row],[Outstanding Discounted Principal Balance]]+Tabelle63[[#This Row],[Outstanding Discounted Principal Balance2]]+Tabelle63[[#This Row],[Column2]]</f>
        <v>72856.06</v>
      </c>
      <c r="G34" s="436">
        <f>Tabelle39[[#This Row],[Outstanding Discounted Principal Balance]]/$F$42</f>
        <v>1.0894492774357934E-4</v>
      </c>
      <c r="H34" s="396">
        <v>1</v>
      </c>
      <c r="I34" s="480">
        <v>72856.06</v>
      </c>
      <c r="J34" s="396">
        <v>0</v>
      </c>
      <c r="K34" s="480">
        <v>0</v>
      </c>
      <c r="L34" s="398">
        <v>0</v>
      </c>
      <c r="M34" s="397">
        <v>0</v>
      </c>
      <c r="N34" s="396">
        <v>1</v>
      </c>
      <c r="O34" s="480">
        <v>72856.06</v>
      </c>
      <c r="P34" s="405">
        <v>0</v>
      </c>
      <c r="Q34" s="513">
        <v>0</v>
      </c>
    </row>
    <row r="35" spans="3:17">
      <c r="C35" s="299">
        <v>16</v>
      </c>
      <c r="D35" s="113">
        <f>Tabelle63[[#This Row],[Number of Contracts2]]+Tabelle63[[#This Row],[Number of Contracts4]]+Tabelle63[[#This Row],[Column1]]</f>
        <v>1</v>
      </c>
      <c r="E35" s="435">
        <f>Tabelle39[[#This Row],[Contract Concentration]]/$D$42</f>
        <v>2.6710828569902237E-5</v>
      </c>
      <c r="F35" s="468">
        <f>Tabelle63[[#This Row],[Outstanding Discounted Principal Balance]]+Tabelle63[[#This Row],[Outstanding Discounted Principal Balance2]]+Tabelle63[[#This Row],[Column2]]</f>
        <v>72215.92</v>
      </c>
      <c r="G35" s="436">
        <f>Tabelle39[[#This Row],[Outstanding Discounted Principal Balance]]/$F$42</f>
        <v>1.0798769774725817E-4</v>
      </c>
      <c r="H35" s="396">
        <v>1</v>
      </c>
      <c r="I35" s="480">
        <v>72215.92</v>
      </c>
      <c r="J35" s="396">
        <v>0</v>
      </c>
      <c r="K35" s="480">
        <v>0</v>
      </c>
      <c r="L35" s="398">
        <v>0</v>
      </c>
      <c r="M35" s="397">
        <v>0</v>
      </c>
      <c r="N35" s="396">
        <v>1</v>
      </c>
      <c r="O35" s="480">
        <v>72215.92</v>
      </c>
      <c r="P35" s="405">
        <v>0</v>
      </c>
      <c r="Q35" s="513">
        <v>0</v>
      </c>
    </row>
    <row r="36" spans="3:17">
      <c r="C36" s="299">
        <v>17</v>
      </c>
      <c r="D36" s="113">
        <f>Tabelle63[[#This Row],[Number of Contracts2]]+Tabelle63[[#This Row],[Number of Contracts4]]+Tabelle63[[#This Row],[Column1]]</f>
        <v>1</v>
      </c>
      <c r="E36" s="435">
        <f>Tabelle39[[#This Row],[Contract Concentration]]/$D$42</f>
        <v>2.6710828569902237E-5</v>
      </c>
      <c r="F36" s="468">
        <f>Tabelle63[[#This Row],[Outstanding Discounted Principal Balance]]+Tabelle63[[#This Row],[Outstanding Discounted Principal Balance2]]+Tabelle63[[#This Row],[Column2]]</f>
        <v>71999.929999999993</v>
      </c>
      <c r="G36" s="436">
        <f>Tabelle39[[#This Row],[Outstanding Discounted Principal Balance]]/$F$42</f>
        <v>1.0766471823198743E-4</v>
      </c>
      <c r="H36" s="396">
        <v>1</v>
      </c>
      <c r="I36" s="480">
        <v>71999.929999999993</v>
      </c>
      <c r="J36" s="396">
        <v>0</v>
      </c>
      <c r="K36" s="480">
        <v>0</v>
      </c>
      <c r="L36" s="398">
        <v>0</v>
      </c>
      <c r="M36" s="397">
        <v>0</v>
      </c>
      <c r="N36" s="396">
        <v>1</v>
      </c>
      <c r="O36" s="480">
        <v>71999.929999999993</v>
      </c>
      <c r="P36" s="405">
        <v>0</v>
      </c>
      <c r="Q36" s="513">
        <v>0</v>
      </c>
    </row>
    <row r="37" spans="3:17">
      <c r="C37" s="299">
        <v>18</v>
      </c>
      <c r="D37" s="113">
        <f>Tabelle63[[#This Row],[Number of Contracts2]]+Tabelle63[[#This Row],[Number of Contracts4]]+Tabelle63[[#This Row],[Column1]]</f>
        <v>1</v>
      </c>
      <c r="E37" s="435">
        <f>Tabelle39[[#This Row],[Contract Concentration]]/$D$42</f>
        <v>2.6710828569902237E-5</v>
      </c>
      <c r="F37" s="468">
        <f>Tabelle63[[#This Row],[Outstanding Discounted Principal Balance]]+Tabelle63[[#This Row],[Outstanding Discounted Principal Balance2]]+Tabelle63[[#This Row],[Column2]]</f>
        <v>71925.39</v>
      </c>
      <c r="G37" s="436">
        <f>Tabelle39[[#This Row],[Outstanding Discounted Principal Balance]]/$F$42</f>
        <v>1.0755325523338435E-4</v>
      </c>
      <c r="H37" s="396">
        <v>1</v>
      </c>
      <c r="I37" s="480">
        <v>71925.39</v>
      </c>
      <c r="J37" s="396">
        <v>0</v>
      </c>
      <c r="K37" s="480">
        <v>0</v>
      </c>
      <c r="L37" s="398">
        <v>0</v>
      </c>
      <c r="M37" s="397">
        <v>0</v>
      </c>
      <c r="N37" s="396">
        <v>1</v>
      </c>
      <c r="O37" s="480">
        <v>71925.39</v>
      </c>
      <c r="P37" s="405">
        <v>0</v>
      </c>
      <c r="Q37" s="513">
        <v>0</v>
      </c>
    </row>
    <row r="38" spans="3:17">
      <c r="C38" s="299">
        <v>19</v>
      </c>
      <c r="D38" s="113">
        <f>Tabelle63[[#This Row],[Number of Contracts2]]+Tabelle63[[#This Row],[Number of Contracts4]]+Tabelle63[[#This Row],[Column1]]</f>
        <v>1</v>
      </c>
      <c r="E38" s="435">
        <f>Tabelle39[[#This Row],[Contract Concentration]]/$D$42</f>
        <v>2.6710828569902237E-5</v>
      </c>
      <c r="F38" s="468">
        <f>Tabelle63[[#This Row],[Outstanding Discounted Principal Balance]]+Tabelle63[[#This Row],[Outstanding Discounted Principal Balance2]]+Tabelle63[[#This Row],[Column2]]</f>
        <v>71824.88</v>
      </c>
      <c r="G38" s="436">
        <f>Tabelle39[[#This Row],[Outstanding Discounted Principal Balance]]/$F$42</f>
        <v>1.0740295813129694E-4</v>
      </c>
      <c r="H38" s="396">
        <v>1</v>
      </c>
      <c r="I38" s="480">
        <v>71824.88</v>
      </c>
      <c r="J38" s="396">
        <v>0</v>
      </c>
      <c r="K38" s="480">
        <v>0</v>
      </c>
      <c r="L38" s="398">
        <v>0</v>
      </c>
      <c r="M38" s="397">
        <v>0</v>
      </c>
      <c r="N38" s="396">
        <v>1</v>
      </c>
      <c r="O38" s="480">
        <v>71824.88</v>
      </c>
      <c r="P38" s="405">
        <v>0</v>
      </c>
      <c r="Q38" s="513">
        <v>0</v>
      </c>
    </row>
    <row r="39" spans="3:17">
      <c r="C39" s="299">
        <v>20</v>
      </c>
      <c r="D39" s="113">
        <f>Tabelle63[[#This Row],[Number of Contracts2]]+Tabelle63[[#This Row],[Number of Contracts4]]+Tabelle63[[#This Row],[Column1]]</f>
        <v>1</v>
      </c>
      <c r="E39" s="435">
        <f>Tabelle39[[#This Row],[Contract Concentration]]/$D$42</f>
        <v>2.6710828569902237E-5</v>
      </c>
      <c r="F39" s="468">
        <f>Tabelle63[[#This Row],[Outstanding Discounted Principal Balance]]+Tabelle63[[#This Row],[Outstanding Discounted Principal Balance2]]+Tabelle63[[#This Row],[Column2]]</f>
        <v>71782.100000000006</v>
      </c>
      <c r="G39" s="436">
        <f>Tabelle39[[#This Row],[Outstanding Discounted Principal Balance]]/$F$42</f>
        <v>1.0733898728235355E-4</v>
      </c>
      <c r="H39" s="396">
        <v>0</v>
      </c>
      <c r="I39" s="480">
        <v>0</v>
      </c>
      <c r="J39" s="396">
        <v>1</v>
      </c>
      <c r="K39" s="480">
        <v>71782.100000000006</v>
      </c>
      <c r="L39" s="398">
        <v>0</v>
      </c>
      <c r="M39" s="397">
        <v>0</v>
      </c>
      <c r="N39" s="396">
        <v>1</v>
      </c>
      <c r="O39" s="480">
        <v>71782.100000000006</v>
      </c>
      <c r="P39" s="405">
        <v>0</v>
      </c>
      <c r="Q39" s="513">
        <v>0</v>
      </c>
    </row>
    <row r="40" spans="3:17">
      <c r="C40" s="300" t="s">
        <v>184</v>
      </c>
      <c r="D40" s="290">
        <f>Tabelle63[[#This Row],[Number of Contracts2]]+Tabelle63[[#This Row],[Number of Contracts4]]+Tabelle63[[#This Row],[Column1]]</f>
        <v>21</v>
      </c>
      <c r="E40" s="311">
        <f>Tabelle39[[#This Row],[Contract Concentration]]/$D$42</f>
        <v>5.6092739996794702E-4</v>
      </c>
      <c r="F40" s="462">
        <f>Tabelle63[[#This Row],[Outstanding Discounted Principal Balance]]+Tabelle63[[#This Row],[Outstanding Discounted Principal Balance2]]+Tabelle63[[#This Row],[Column2]]</f>
        <v>1486834.8499999999</v>
      </c>
      <c r="G40" s="313">
        <f>Tabelle39[[#This Row],[Outstanding Discounted Principal Balance]]/$F$42</f>
        <v>2.2233307057763709E-3</v>
      </c>
      <c r="H40" s="399">
        <f>SUM(H20:H39)</f>
        <v>17</v>
      </c>
      <c r="I40" s="483">
        <f t="shared" ref="I40:M40" si="1">SUM(I20:I39)</f>
        <v>1265537.3199999998</v>
      </c>
      <c r="J40" s="401">
        <f t="shared" si="1"/>
        <v>4</v>
      </c>
      <c r="K40" s="483">
        <f t="shared" si="1"/>
        <v>221297.53</v>
      </c>
      <c r="L40" s="401">
        <f t="shared" si="1"/>
        <v>0</v>
      </c>
      <c r="M40" s="400">
        <f t="shared" si="1"/>
        <v>0</v>
      </c>
      <c r="N40" s="401">
        <f t="shared" ref="N40" si="2">SUM(N20:N39)</f>
        <v>21</v>
      </c>
      <c r="O40" s="483">
        <f t="shared" ref="O40" si="3">SUM(O20:O39)</f>
        <v>1486834.8499999996</v>
      </c>
      <c r="P40" s="399">
        <f>SUM(P20:P39)</f>
        <v>0</v>
      </c>
      <c r="Q40" s="514">
        <f t="shared" ref="Q40" si="4">SUM(Q20:Q39)</f>
        <v>0</v>
      </c>
    </row>
    <row r="41" spans="3:17">
      <c r="C41" s="306"/>
      <c r="F41" s="482"/>
    </row>
    <row r="42" spans="3:17">
      <c r="C42" s="289" t="s">
        <v>42</v>
      </c>
      <c r="D42" s="356">
        <f>D15</f>
        <v>37438</v>
      </c>
      <c r="E42" s="360">
        <v>1</v>
      </c>
      <c r="F42" s="515">
        <f>F15</f>
        <v>668742102.16999996</v>
      </c>
      <c r="G42" s="360">
        <v>1</v>
      </c>
    </row>
    <row r="43" spans="3:17"/>
    <row r="44" spans="3:17" hidden="1"/>
    <row r="45" spans="3:17" hidden="1"/>
    <row r="46" spans="3:17" hidden="1"/>
    <row r="47" spans="3:17" hidden="1"/>
    <row r="48" spans="3:17" hidden="1"/>
    <row r="49" hidden="1"/>
    <row r="50" hidden="1"/>
  </sheetData>
  <mergeCells count="16">
    <mergeCell ref="D17:G18"/>
    <mergeCell ref="H17:M17"/>
    <mergeCell ref="N17:Q17"/>
    <mergeCell ref="H18:I18"/>
    <mergeCell ref="J18:K18"/>
    <mergeCell ref="L18:M18"/>
    <mergeCell ref="N18:O18"/>
    <mergeCell ref="P18:Q18"/>
    <mergeCell ref="D7:G8"/>
    <mergeCell ref="H7:M7"/>
    <mergeCell ref="N7:Q7"/>
    <mergeCell ref="H8:I8"/>
    <mergeCell ref="J8:K8"/>
    <mergeCell ref="L8:M8"/>
    <mergeCell ref="N8:O8"/>
    <mergeCell ref="P8:Q8"/>
  </mergeCells>
  <hyperlinks>
    <hyperlink ref="Q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&amp;C19&amp;R&amp;K00-046Banco Volkswagen S.A.
Rua Volkswagen, nº 291
São Paulo - SP - Brazil
Tel: +55 11 5582 5591
TESOU-ABS@vwfs.com</oddFooter>
  </headerFooter>
  <drawing r:id="rId2"/>
  <tableParts count="4">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499984740745262"/>
    <pageSetUpPr fitToPage="1"/>
  </sheetPr>
  <dimension ref="A1:S52"/>
  <sheetViews>
    <sheetView showGridLines="0" topLeftCell="A13" zoomScale="85" zoomScaleNormal="85" workbookViewId="0">
      <selection activeCell="G48" sqref="G48:H48"/>
    </sheetView>
  </sheetViews>
  <sheetFormatPr defaultColWidth="0" defaultRowHeight="12.75" zeroHeight="1"/>
  <cols>
    <col min="1" max="3" width="0.5703125" customWidth="1"/>
    <col min="4" max="4" width="20.7109375" customWidth="1"/>
    <col min="5" max="5" width="14.7109375" customWidth="1"/>
    <col min="6" max="6" width="12.7109375" customWidth="1"/>
    <col min="7" max="7" width="21.7109375" customWidth="1"/>
    <col min="8" max="8" width="14.7109375" customWidth="1"/>
    <col min="9" max="9" width="12.7109375" customWidth="1"/>
    <col min="10" max="10" width="21.7109375" customWidth="1"/>
    <col min="11" max="11" width="12.7109375" customWidth="1"/>
    <col min="12" max="12" width="21.7109375" customWidth="1"/>
    <col min="13" max="13" width="15.140625" hidden="1" customWidth="1"/>
    <col min="14" max="14" width="19.85546875" hidden="1" customWidth="1"/>
    <col min="15" max="15" width="12.7109375" customWidth="1"/>
    <col min="16" max="16" width="21.7109375" customWidth="1"/>
    <col min="17" max="17" width="12.7109375" customWidth="1"/>
    <col min="18" max="18" width="21.7109375" customWidth="1"/>
    <col min="19" max="19" width="0.7109375" customWidth="1"/>
    <col min="20" max="16384" width="12.7109375" hidden="1"/>
  </cols>
  <sheetData>
    <row r="1" spans="4:19" ht="14.25" customHeight="1">
      <c r="D1" s="224"/>
      <c r="E1" s="224"/>
      <c r="F1" s="224"/>
      <c r="G1" s="224"/>
      <c r="H1" s="224"/>
      <c r="I1" s="224"/>
      <c r="J1" s="224"/>
      <c r="K1" s="224"/>
      <c r="L1" s="224"/>
      <c r="M1" s="224"/>
      <c r="N1" s="224"/>
      <c r="O1" s="224"/>
      <c r="P1" s="224"/>
      <c r="Q1" s="224"/>
      <c r="R1" s="226" t="str">
        <f>CONCATENATE("Publication Date: ",TEXT(Input!C7,"DD.MM.AAAA"))</f>
        <v>Publication Date: 05.03.2020</v>
      </c>
    </row>
    <row r="2" spans="4:19" ht="14.25" customHeight="1">
      <c r="D2" s="224"/>
      <c r="E2" s="224"/>
      <c r="F2" s="224"/>
      <c r="G2" s="224"/>
      <c r="H2" s="224"/>
      <c r="I2" s="224"/>
      <c r="J2" s="224"/>
      <c r="K2" s="224"/>
      <c r="L2" s="224"/>
      <c r="M2" s="224"/>
      <c r="N2" s="224"/>
      <c r="O2" s="224"/>
      <c r="P2" s="224"/>
      <c r="Q2" s="224"/>
      <c r="R2" s="134" t="str">
        <f>CONCATENATE("Period: ",TEXT(Input!$C$5,"MM.AAAA")," / Period No. ",Input!$C$6)</f>
        <v>Period: 02.2020 / Period No. 9</v>
      </c>
    </row>
    <row r="3" spans="4:19" ht="14.25" customHeight="1">
      <c r="D3" s="224"/>
      <c r="E3" s="224"/>
      <c r="F3" s="224"/>
      <c r="G3" s="224"/>
      <c r="H3" s="224"/>
      <c r="I3" s="224"/>
      <c r="J3" s="224"/>
      <c r="K3" s="224"/>
      <c r="L3" s="224"/>
      <c r="M3" s="224"/>
      <c r="N3" s="224"/>
      <c r="O3" s="224"/>
      <c r="P3" s="224"/>
      <c r="Q3" s="224"/>
      <c r="R3" s="383" t="s">
        <v>236</v>
      </c>
    </row>
    <row r="4" spans="4:19"/>
    <row r="5" spans="4:19" ht="15.75" customHeight="1">
      <c r="D5" s="118" t="s">
        <v>193</v>
      </c>
    </row>
    <row r="6" spans="4:19"/>
    <row r="7" spans="4:19">
      <c r="E7" s="798" t="s">
        <v>182</v>
      </c>
      <c r="F7" s="799"/>
      <c r="G7" s="799"/>
      <c r="H7" s="799"/>
      <c r="I7" s="837" t="s">
        <v>142</v>
      </c>
      <c r="J7" s="837"/>
      <c r="K7" s="837"/>
      <c r="L7" s="837"/>
      <c r="M7" s="837"/>
      <c r="N7" s="837"/>
      <c r="O7" s="837" t="s">
        <v>62</v>
      </c>
      <c r="P7" s="837"/>
      <c r="Q7" s="837"/>
      <c r="R7" s="837"/>
    </row>
    <row r="8" spans="4:19">
      <c r="D8" s="302"/>
      <c r="E8" s="835"/>
      <c r="F8" s="836"/>
      <c r="G8" s="836"/>
      <c r="H8" s="836"/>
      <c r="I8" s="839" t="s">
        <v>170</v>
      </c>
      <c r="J8" s="840"/>
      <c r="K8" s="839" t="s">
        <v>171</v>
      </c>
      <c r="L8" s="840"/>
      <c r="M8" s="841" t="s">
        <v>61</v>
      </c>
      <c r="N8" s="841"/>
      <c r="O8" s="841" t="s">
        <v>172</v>
      </c>
      <c r="P8" s="841"/>
      <c r="Q8" s="842" t="s">
        <v>173</v>
      </c>
      <c r="R8" s="842"/>
    </row>
    <row r="9" spans="4:19" ht="51">
      <c r="D9" s="303" t="s">
        <v>376</v>
      </c>
      <c r="E9" s="284" t="s">
        <v>41</v>
      </c>
      <c r="F9" s="284" t="s">
        <v>169</v>
      </c>
      <c r="G9" s="284" t="s">
        <v>483</v>
      </c>
      <c r="H9" s="304" t="s">
        <v>379</v>
      </c>
      <c r="I9" s="283" t="s">
        <v>255</v>
      </c>
      <c r="J9" s="284" t="s">
        <v>479</v>
      </c>
      <c r="K9" s="284" t="s">
        <v>256</v>
      </c>
      <c r="L9" s="284" t="s">
        <v>484</v>
      </c>
      <c r="M9" s="284" t="s">
        <v>257</v>
      </c>
      <c r="N9" s="284" t="s">
        <v>313</v>
      </c>
      <c r="O9" s="284" t="s">
        <v>258</v>
      </c>
      <c r="P9" s="284" t="s">
        <v>485</v>
      </c>
      <c r="Q9" s="284" t="s">
        <v>259</v>
      </c>
      <c r="R9" s="304" t="s">
        <v>486</v>
      </c>
    </row>
    <row r="10" spans="4:19">
      <c r="D10" s="299" t="s">
        <v>378</v>
      </c>
      <c r="E10" s="361">
        <f t="shared" ref="E10:E19" si="0">+I10+K10</f>
        <v>4210</v>
      </c>
      <c r="F10" s="435">
        <f>Tabelle40[[#This Row],[Number of Contracts]]/$E$21</f>
        <v>0.11245258827928842</v>
      </c>
      <c r="G10" s="468">
        <f t="shared" ref="G10:G19" si="1">+J10+L10</f>
        <v>12392093.439999999</v>
      </c>
      <c r="H10" s="435">
        <f>Tabelle40[[#This Row],[Oustanding Discounted Principal Balance]]/$G$21</f>
        <v>1.8530452022968071E-2</v>
      </c>
      <c r="I10" s="396">
        <v>3240</v>
      </c>
      <c r="J10" s="480">
        <v>9730962.6699999999</v>
      </c>
      <c r="K10" s="396">
        <v>970</v>
      </c>
      <c r="L10" s="480">
        <v>2661130.77</v>
      </c>
      <c r="M10" s="396">
        <v>721</v>
      </c>
      <c r="N10" s="397">
        <v>3532226.53</v>
      </c>
      <c r="O10" s="521">
        <v>3769</v>
      </c>
      <c r="P10" s="517">
        <v>11095630.84</v>
      </c>
      <c r="Q10" s="519">
        <v>441</v>
      </c>
      <c r="R10" s="517">
        <v>1296462.6000000001</v>
      </c>
    </row>
    <row r="11" spans="4:19">
      <c r="D11" s="299" t="s">
        <v>365</v>
      </c>
      <c r="E11" s="361">
        <f t="shared" si="0"/>
        <v>7193</v>
      </c>
      <c r="F11" s="435">
        <f>Tabelle40[[#This Row],[Number of Contracts]]/$E$21</f>
        <v>0.19213098990330679</v>
      </c>
      <c r="G11" s="468">
        <f t="shared" si="1"/>
        <v>54930924.980000004</v>
      </c>
      <c r="H11" s="435">
        <f>Tabelle40[[#This Row],[Oustanding Discounted Principal Balance]]/$G$21</f>
        <v>8.2140670972793164E-2</v>
      </c>
      <c r="I11" s="396">
        <v>5720</v>
      </c>
      <c r="J11" s="480">
        <v>43784182.310000002</v>
      </c>
      <c r="K11" s="396">
        <v>1473</v>
      </c>
      <c r="L11" s="480">
        <v>11146742.67</v>
      </c>
      <c r="M11" s="396">
        <v>292</v>
      </c>
      <c r="N11" s="397">
        <v>2566220.2599999998</v>
      </c>
      <c r="O11" s="519">
        <v>6555</v>
      </c>
      <c r="P11" s="517">
        <v>50084994.039999999</v>
      </c>
      <c r="Q11" s="519">
        <v>638</v>
      </c>
      <c r="R11" s="517">
        <v>4845930.9400000004</v>
      </c>
    </row>
    <row r="12" spans="4:19">
      <c r="D12" s="299" t="s">
        <v>366</v>
      </c>
      <c r="E12" s="361">
        <f t="shared" si="0"/>
        <v>7727</v>
      </c>
      <c r="F12" s="435">
        <f>Tabelle40[[#This Row],[Number of Contracts]]/$E$21</f>
        <v>0.2063945723596346</v>
      </c>
      <c r="G12" s="468">
        <f t="shared" si="1"/>
        <v>96250183.810000002</v>
      </c>
      <c r="H12" s="435">
        <f>Tabelle40[[#This Row],[Oustanding Discounted Principal Balance]]/$G$21</f>
        <v>0.14392720825812813</v>
      </c>
      <c r="I12" s="396">
        <v>6212</v>
      </c>
      <c r="J12" s="480">
        <v>77316595.569999993</v>
      </c>
      <c r="K12" s="396">
        <v>1515</v>
      </c>
      <c r="L12" s="480">
        <v>18933588.240000002</v>
      </c>
      <c r="M12" s="396">
        <v>250</v>
      </c>
      <c r="N12" s="397">
        <v>2796105.32</v>
      </c>
      <c r="O12" s="519">
        <v>7083</v>
      </c>
      <c r="P12" s="517">
        <v>88252898.200000003</v>
      </c>
      <c r="Q12" s="519">
        <v>644</v>
      </c>
      <c r="R12" s="517">
        <v>7997285.6100000003</v>
      </c>
    </row>
    <row r="13" spans="4:19">
      <c r="D13" s="299" t="s">
        <v>367</v>
      </c>
      <c r="E13" s="361">
        <f t="shared" si="0"/>
        <v>5720</v>
      </c>
      <c r="F13" s="435">
        <f>Tabelle40[[#This Row],[Number of Contracts]]/$E$21</f>
        <v>0.15278593941984081</v>
      </c>
      <c r="G13" s="468">
        <f t="shared" si="1"/>
        <v>98707617.219999999</v>
      </c>
      <c r="H13" s="435">
        <f>Tabelle40[[#This Row],[Oustanding Discounted Principal Balance]]/$G$21</f>
        <v>0.14760191843717305</v>
      </c>
      <c r="I13" s="396">
        <v>4234</v>
      </c>
      <c r="J13" s="480">
        <v>72790150.260000005</v>
      </c>
      <c r="K13" s="396">
        <v>1486</v>
      </c>
      <c r="L13" s="480">
        <v>25917466.959999997</v>
      </c>
      <c r="M13" s="396">
        <v>212</v>
      </c>
      <c r="N13" s="397">
        <v>2902918.01</v>
      </c>
      <c r="O13" s="519">
        <v>5210</v>
      </c>
      <c r="P13" s="517">
        <v>89852377.519999996</v>
      </c>
      <c r="Q13" s="519">
        <v>510</v>
      </c>
      <c r="R13" s="517">
        <v>8855239.6999999993</v>
      </c>
    </row>
    <row r="14" spans="4:19">
      <c r="D14" s="299" t="s">
        <v>368</v>
      </c>
      <c r="E14" s="361">
        <f t="shared" si="0"/>
        <v>3582</v>
      </c>
      <c r="F14" s="435">
        <f>Tabelle40[[#This Row],[Number of Contracts]]/$E$21</f>
        <v>9.5678187937389816E-2</v>
      </c>
      <c r="G14" s="468">
        <f t="shared" si="1"/>
        <v>80282048.870000005</v>
      </c>
      <c r="H14" s="435">
        <f>Tabelle40[[#This Row],[Oustanding Discounted Principal Balance]]/$G$21</f>
        <v>0.12004934130734841</v>
      </c>
      <c r="I14" s="396">
        <v>2397</v>
      </c>
      <c r="J14" s="480">
        <v>53741401.509999998</v>
      </c>
      <c r="K14" s="396">
        <v>1185</v>
      </c>
      <c r="L14" s="480">
        <v>26540647.359999999</v>
      </c>
      <c r="M14" s="396"/>
      <c r="N14" s="397"/>
      <c r="O14" s="519">
        <v>3153</v>
      </c>
      <c r="P14" s="517">
        <v>70645169.859999999</v>
      </c>
      <c r="Q14" s="519">
        <v>429</v>
      </c>
      <c r="R14" s="517">
        <v>9636879.0099999998</v>
      </c>
    </row>
    <row r="15" spans="4:19">
      <c r="D15" s="299" t="s">
        <v>369</v>
      </c>
      <c r="E15" s="361">
        <f t="shared" si="0"/>
        <v>2848</v>
      </c>
      <c r="F15" s="435">
        <f>Tabelle40[[#This Row],[Number of Contracts]]/$E$21</f>
        <v>7.6072439767081571E-2</v>
      </c>
      <c r="G15" s="468">
        <f t="shared" si="1"/>
        <v>77944837.769999996</v>
      </c>
      <c r="H15" s="435">
        <f>Tabelle40[[#This Row],[Oustanding Discounted Principal Balance]]/$G$21</f>
        <v>0.11655440492990785</v>
      </c>
      <c r="I15" s="396">
        <v>1958</v>
      </c>
      <c r="J15" s="480">
        <v>53601271.640000001</v>
      </c>
      <c r="K15" s="396">
        <v>890</v>
      </c>
      <c r="L15" s="480">
        <v>24343566.129999999</v>
      </c>
      <c r="M15" s="396">
        <v>117</v>
      </c>
      <c r="N15" s="397">
        <v>2574817.91</v>
      </c>
      <c r="O15" s="519">
        <v>2539</v>
      </c>
      <c r="P15" s="517">
        <v>69492998.810000002</v>
      </c>
      <c r="Q15" s="519">
        <v>309</v>
      </c>
      <c r="R15" s="517">
        <v>8451838.9600000009</v>
      </c>
      <c r="S15">
        <v>3789</v>
      </c>
    </row>
    <row r="16" spans="4:19">
      <c r="D16" s="299" t="s">
        <v>370</v>
      </c>
      <c r="E16" s="361">
        <f t="shared" si="0"/>
        <v>3655</v>
      </c>
      <c r="F16" s="435">
        <f>Tabelle40[[#This Row],[Number of Contracts]]/$E$21</f>
        <v>9.7628078422992676E-2</v>
      </c>
      <c r="G16" s="468">
        <f t="shared" si="1"/>
        <v>126020072.02</v>
      </c>
      <c r="H16" s="435">
        <f>Tabelle40[[#This Row],[Oustanding Discounted Principal Balance]]/$G$21</f>
        <v>0.1884434546756929</v>
      </c>
      <c r="I16" s="396">
        <v>2629</v>
      </c>
      <c r="J16" s="480">
        <v>90939378.069999993</v>
      </c>
      <c r="K16" s="396">
        <v>1026</v>
      </c>
      <c r="L16" s="480">
        <v>35080693.950000003</v>
      </c>
      <c r="M16" s="396"/>
      <c r="N16" s="397"/>
      <c r="O16" s="519">
        <v>3269</v>
      </c>
      <c r="P16" s="517">
        <v>112684414.59</v>
      </c>
      <c r="Q16" s="519">
        <v>386</v>
      </c>
      <c r="R16" s="517">
        <v>13335657.43</v>
      </c>
    </row>
    <row r="17" spans="1:18">
      <c r="D17" s="299" t="s">
        <v>371</v>
      </c>
      <c r="E17" s="361">
        <f t="shared" si="0"/>
        <v>1617</v>
      </c>
      <c r="F17" s="435">
        <f>Tabelle40[[#This Row],[Number of Contracts]]/$E$21</f>
        <v>4.3191409797531922E-2</v>
      </c>
      <c r="G17" s="468">
        <f t="shared" si="1"/>
        <v>71365404.320000008</v>
      </c>
      <c r="H17" s="435">
        <f>Tabelle40[[#This Row],[Oustanding Discounted Principal Balance]]/$G$21</f>
        <v>0.10671588357967374</v>
      </c>
      <c r="I17" s="396">
        <v>1330</v>
      </c>
      <c r="J17" s="480">
        <v>58785551.920000002</v>
      </c>
      <c r="K17" s="396">
        <v>287</v>
      </c>
      <c r="L17" s="480">
        <v>12579852.4</v>
      </c>
      <c r="M17" s="396"/>
      <c r="N17" s="397"/>
      <c r="O17" s="519">
        <v>1440</v>
      </c>
      <c r="P17" s="517">
        <v>63567199.939999998</v>
      </c>
      <c r="Q17" s="519">
        <v>177</v>
      </c>
      <c r="R17" s="517">
        <v>7798204.3799999999</v>
      </c>
    </row>
    <row r="18" spans="1:18">
      <c r="D18" s="299" t="s">
        <v>372</v>
      </c>
      <c r="E18" s="361">
        <f t="shared" si="0"/>
        <v>627</v>
      </c>
      <c r="F18" s="435">
        <f>Tabelle40[[#This Row],[Number of Contracts]]/$E$21</f>
        <v>1.6747689513328702E-2</v>
      </c>
      <c r="G18" s="468">
        <f t="shared" si="1"/>
        <v>33836351.009999998</v>
      </c>
      <c r="H18" s="435">
        <f>Tabelle40[[#This Row],[Oustanding Discounted Principal Balance]]/$G$21</f>
        <v>5.0597010267791551E-2</v>
      </c>
      <c r="I18" s="396">
        <v>530</v>
      </c>
      <c r="J18" s="480">
        <v>28608758.359999999</v>
      </c>
      <c r="K18" s="396">
        <v>97</v>
      </c>
      <c r="L18" s="480">
        <v>5227592.6500000004</v>
      </c>
      <c r="M18" s="396">
        <v>57</v>
      </c>
      <c r="N18" s="397">
        <v>1563088.18</v>
      </c>
      <c r="O18" s="519">
        <v>557</v>
      </c>
      <c r="P18" s="517">
        <v>30030111.149999999</v>
      </c>
      <c r="Q18" s="519">
        <v>70</v>
      </c>
      <c r="R18" s="517">
        <v>3806239.86</v>
      </c>
    </row>
    <row r="19" spans="1:18">
      <c r="D19" s="299" t="s">
        <v>373</v>
      </c>
      <c r="E19" s="361">
        <f t="shared" si="0"/>
        <v>213</v>
      </c>
      <c r="F19" s="435">
        <f>Tabelle40[[#This Row],[Number of Contracts]]/$E$21</f>
        <v>5.6894064853891769E-3</v>
      </c>
      <c r="G19" s="468">
        <f t="shared" si="1"/>
        <v>13684179.720000001</v>
      </c>
      <c r="H19" s="435">
        <f>Tabelle40[[#This Row],[Oustanding Discounted Principal Balance]]/$G$21</f>
        <v>2.0462566474574024E-2</v>
      </c>
      <c r="I19" s="396">
        <v>194</v>
      </c>
      <c r="J19" s="480">
        <v>12456060.48</v>
      </c>
      <c r="K19" s="396">
        <v>19</v>
      </c>
      <c r="L19" s="480">
        <v>1228119.24</v>
      </c>
      <c r="M19" s="396"/>
      <c r="N19" s="397"/>
      <c r="O19" s="519">
        <v>182</v>
      </c>
      <c r="P19" s="517">
        <v>11693658.060000001</v>
      </c>
      <c r="Q19" s="519">
        <v>31</v>
      </c>
      <c r="R19" s="517">
        <v>1990521.66</v>
      </c>
    </row>
    <row r="20" spans="1:18">
      <c r="A20" s="739" t="s">
        <v>374</v>
      </c>
      <c r="B20" s="739" t="s">
        <v>651</v>
      </c>
      <c r="C20" s="739"/>
      <c r="D20" s="299" t="s">
        <v>626</v>
      </c>
      <c r="E20" s="361">
        <f t="shared" ref="E20" si="2">+I20+K20</f>
        <v>46</v>
      </c>
      <c r="F20" s="435">
        <f>Tabelle40[[#This Row],[Number of Contracts]]/$E$21</f>
        <v>1.228698114215503E-3</v>
      </c>
      <c r="G20" s="468">
        <f t="shared" ref="G20" si="3">+J20+L20</f>
        <v>3328389.01</v>
      </c>
      <c r="H20" s="435">
        <f>Tabelle40[[#This Row],[Oustanding Discounted Principal Balance]]/$G$21</f>
        <v>4.9770890739490098E-3</v>
      </c>
      <c r="I20" s="396">
        <v>39</v>
      </c>
      <c r="J20" s="480">
        <v>2828630.4899999998</v>
      </c>
      <c r="K20" s="396">
        <v>7</v>
      </c>
      <c r="L20" s="480">
        <v>499758.52</v>
      </c>
      <c r="M20" s="396"/>
      <c r="N20" s="397"/>
      <c r="O20" s="519">
        <v>43</v>
      </c>
      <c r="P20" s="517">
        <v>3114958.6199999996</v>
      </c>
      <c r="Q20" s="519">
        <v>3</v>
      </c>
      <c r="R20" s="517">
        <v>213430.39</v>
      </c>
    </row>
    <row r="21" spans="1:18">
      <c r="D21" s="309" t="s">
        <v>42</v>
      </c>
      <c r="E21" s="291">
        <f>+I21+K21</f>
        <v>37438</v>
      </c>
      <c r="F21" s="311">
        <f>Tabelle40[[#This Row],[Number of Contracts]]/$E$21</f>
        <v>1</v>
      </c>
      <c r="G21" s="462">
        <f>+J21+L21</f>
        <v>668742102.17000008</v>
      </c>
      <c r="H21" s="311">
        <f>Tabelle40[[#This Row],[Oustanding Discounted Principal Balance]]/$G$21</f>
        <v>1</v>
      </c>
      <c r="I21" s="399">
        <f t="shared" ref="I21:R21" si="4">SUM(I10:I20)</f>
        <v>28483</v>
      </c>
      <c r="J21" s="483">
        <f t="shared" si="4"/>
        <v>504582943.28000003</v>
      </c>
      <c r="K21" s="399">
        <f t="shared" si="4"/>
        <v>8955</v>
      </c>
      <c r="L21" s="483">
        <f t="shared" si="4"/>
        <v>164159158.89000002</v>
      </c>
      <c r="M21" s="399">
        <f t="shared" si="4"/>
        <v>1649</v>
      </c>
      <c r="N21" s="400">
        <f t="shared" si="4"/>
        <v>15935376.209999999</v>
      </c>
      <c r="O21" s="520">
        <f t="shared" si="4"/>
        <v>33800</v>
      </c>
      <c r="P21" s="518">
        <f t="shared" si="4"/>
        <v>600514411.62999988</v>
      </c>
      <c r="Q21" s="520">
        <f t="shared" si="4"/>
        <v>3638</v>
      </c>
      <c r="R21" s="518">
        <f t="shared" si="4"/>
        <v>68227690.540000007</v>
      </c>
    </row>
    <row r="22" spans="1:18">
      <c r="I22" s="361"/>
      <c r="J22" s="468"/>
      <c r="K22" s="361"/>
      <c r="L22" s="468"/>
      <c r="M22" s="361"/>
      <c r="N22" s="740"/>
      <c r="O22" s="741"/>
      <c r="P22" s="488"/>
      <c r="Q22" s="741"/>
      <c r="R22" s="488"/>
    </row>
    <row r="23" spans="1:18">
      <c r="D23" s="844" t="s">
        <v>186</v>
      </c>
      <c r="E23" s="845"/>
      <c r="F23" s="845"/>
      <c r="G23" s="845"/>
      <c r="H23" s="845"/>
    </row>
    <row r="24" spans="1:18">
      <c r="D24" s="789" t="s">
        <v>380</v>
      </c>
      <c r="E24" s="789"/>
      <c r="F24" s="789"/>
      <c r="G24" s="843">
        <v>48.82</v>
      </c>
      <c r="H24" s="843"/>
      <c r="I24" s="94"/>
    </row>
    <row r="25" spans="1:18">
      <c r="D25" s="846" t="s">
        <v>381</v>
      </c>
      <c r="E25" s="846"/>
      <c r="F25" s="846"/>
      <c r="G25" s="847">
        <v>84475.12</v>
      </c>
      <c r="H25" s="847"/>
    </row>
    <row r="26" spans="1:18">
      <c r="D26" s="789" t="s">
        <v>382</v>
      </c>
      <c r="E26" s="789"/>
      <c r="F26" s="789"/>
      <c r="G26" s="843">
        <v>17862.655648538901</v>
      </c>
      <c r="H26" s="843"/>
    </row>
    <row r="27" spans="1:18"/>
    <row r="28" spans="1:18">
      <c r="E28" s="798" t="s">
        <v>182</v>
      </c>
      <c r="F28" s="799"/>
      <c r="G28" s="799"/>
      <c r="H28" s="799"/>
      <c r="I28" s="837" t="s">
        <v>142</v>
      </c>
      <c r="J28" s="837"/>
      <c r="K28" s="837"/>
      <c r="L28" s="837"/>
      <c r="M28" s="837"/>
      <c r="N28" s="837"/>
      <c r="O28" s="837" t="s">
        <v>62</v>
      </c>
      <c r="P28" s="837"/>
      <c r="Q28" s="837"/>
      <c r="R28" s="837"/>
    </row>
    <row r="29" spans="1:18">
      <c r="D29" s="302"/>
      <c r="E29" s="835"/>
      <c r="F29" s="836"/>
      <c r="G29" s="836"/>
      <c r="H29" s="836"/>
      <c r="I29" s="839" t="s">
        <v>170</v>
      </c>
      <c r="J29" s="840"/>
      <c r="K29" s="839" t="s">
        <v>171</v>
      </c>
      <c r="L29" s="840"/>
      <c r="M29" s="841"/>
      <c r="N29" s="841"/>
      <c r="O29" s="841" t="s">
        <v>172</v>
      </c>
      <c r="P29" s="841"/>
      <c r="Q29" s="842" t="s">
        <v>173</v>
      </c>
      <c r="R29" s="842"/>
    </row>
    <row r="30" spans="1:18" ht="51">
      <c r="D30" s="303" t="s">
        <v>377</v>
      </c>
      <c r="E30" s="284" t="s">
        <v>41</v>
      </c>
      <c r="F30" s="284" t="s">
        <v>169</v>
      </c>
      <c r="G30" s="284" t="s">
        <v>483</v>
      </c>
      <c r="H30" s="304" t="s">
        <v>379</v>
      </c>
      <c r="I30" s="283" t="s">
        <v>255</v>
      </c>
      <c r="J30" s="284" t="s">
        <v>479</v>
      </c>
      <c r="K30" s="284" t="s">
        <v>256</v>
      </c>
      <c r="L30" s="284" t="s">
        <v>484</v>
      </c>
      <c r="M30" s="284" t="s">
        <v>311</v>
      </c>
      <c r="N30" s="284" t="s">
        <v>312</v>
      </c>
      <c r="O30" s="284" t="s">
        <v>258</v>
      </c>
      <c r="P30" s="284" t="s">
        <v>485</v>
      </c>
      <c r="Q30" s="284" t="s">
        <v>259</v>
      </c>
      <c r="R30" s="304" t="s">
        <v>486</v>
      </c>
    </row>
    <row r="31" spans="1:18">
      <c r="D31" s="299" t="s">
        <v>364</v>
      </c>
      <c r="E31" s="361">
        <f>Tabelle66[[#This Row],[Number of Contracts2]]+Tabelle66[[#This Row],[Number of Contracts4]]+Tabelle66[[#This Row],[Column1]]</f>
        <v>13</v>
      </c>
      <c r="F31" s="435">
        <f>Tabelle4043[[#This Row],[Number of Contracts]]/$E$43</f>
        <v>3.4724077140872912E-4</v>
      </c>
      <c r="G31" s="468">
        <f>Tabelle66[[#This Row],[Outstanding Discounted Principal Balance3]]+Tabelle66[[#This Row],[Outstanding Discounted Principal Balance6]]+Tabelle66[[#This Row],[Column2]]</f>
        <v>22750.32</v>
      </c>
      <c r="H31" s="435">
        <f>Tabelle4043[[#This Row],[Oustanding Discounted Principal Balance]]/$G$43</f>
        <v>3.4019571859133032E-5</v>
      </c>
      <c r="I31" s="396">
        <v>5</v>
      </c>
      <c r="J31" s="480">
        <v>8633.74</v>
      </c>
      <c r="K31" s="396">
        <v>8</v>
      </c>
      <c r="L31" s="480">
        <v>14116.580000000002</v>
      </c>
      <c r="M31" s="396"/>
      <c r="N31" s="397"/>
      <c r="O31" s="441">
        <v>13</v>
      </c>
      <c r="P31" s="484">
        <v>22750.32</v>
      </c>
      <c r="Q31" s="441">
        <v>0</v>
      </c>
      <c r="R31" s="484">
        <v>0</v>
      </c>
    </row>
    <row r="32" spans="1:18">
      <c r="D32" s="299" t="s">
        <v>365</v>
      </c>
      <c r="E32" s="361">
        <f>Tabelle66[[#This Row],[Number of Contracts2]]+Tabelle66[[#This Row],[Number of Contracts4]]+Tabelle66[[#This Row],[Column1]]</f>
        <v>361</v>
      </c>
      <c r="F32" s="435">
        <f>Tabelle4043[[#This Row],[Number of Contracts]]/$E$43</f>
        <v>9.6426091137347073E-3</v>
      </c>
      <c r="G32" s="468">
        <f>Tabelle66[[#This Row],[Outstanding Discounted Principal Balance3]]+Tabelle66[[#This Row],[Outstanding Discounted Principal Balance6]]+Tabelle66[[#This Row],[Column2]]</f>
        <v>1307660.5900000001</v>
      </c>
      <c r="H32" s="435">
        <f>Tabelle4043[[#This Row],[Oustanding Discounted Principal Balance]]/$G$43</f>
        <v>1.9554034144953257E-3</v>
      </c>
      <c r="I32" s="396">
        <v>162</v>
      </c>
      <c r="J32" s="480">
        <v>506312.09</v>
      </c>
      <c r="K32" s="396">
        <v>199</v>
      </c>
      <c r="L32" s="480">
        <v>801348.5</v>
      </c>
      <c r="M32" s="396"/>
      <c r="N32" s="397"/>
      <c r="O32" s="441">
        <v>354</v>
      </c>
      <c r="P32" s="484">
        <v>1286272.98</v>
      </c>
      <c r="Q32" s="441">
        <v>7</v>
      </c>
      <c r="R32" s="484">
        <v>21387.61</v>
      </c>
    </row>
    <row r="33" spans="1:18">
      <c r="D33" s="299" t="s">
        <v>366</v>
      </c>
      <c r="E33" s="361">
        <f>Tabelle66[[#This Row],[Number of Contracts2]]+Tabelle66[[#This Row],[Number of Contracts4]]+Tabelle66[[#This Row],[Column1]]</f>
        <v>1791</v>
      </c>
      <c r="F33" s="435">
        <f>Tabelle4043[[#This Row],[Number of Contracts]]/$E$43</f>
        <v>4.7839093968694908E-2</v>
      </c>
      <c r="G33" s="468">
        <f>Tabelle66[[#This Row],[Outstanding Discounted Principal Balance3]]+Tabelle66[[#This Row],[Outstanding Discounted Principal Balance6]]+Tabelle66[[#This Row],[Column2]]</f>
        <v>10640462.789999999</v>
      </c>
      <c r="H33" s="435">
        <f>Tabelle4043[[#This Row],[Oustanding Discounted Principal Balance]]/$G$43</f>
        <v>1.5911160304507194E-2</v>
      </c>
      <c r="I33" s="396">
        <v>918</v>
      </c>
      <c r="J33" s="480">
        <v>4665167.3899999997</v>
      </c>
      <c r="K33" s="396">
        <v>873</v>
      </c>
      <c r="L33" s="480">
        <v>5975295.4000000004</v>
      </c>
      <c r="M33" s="396"/>
      <c r="N33" s="397"/>
      <c r="O33" s="441">
        <v>1758</v>
      </c>
      <c r="P33" s="484">
        <v>10466416.48</v>
      </c>
      <c r="Q33" s="441">
        <v>33</v>
      </c>
      <c r="R33" s="484">
        <v>174046.31</v>
      </c>
    </row>
    <row r="34" spans="1:18">
      <c r="D34" s="299" t="s">
        <v>367</v>
      </c>
      <c r="E34" s="361">
        <f>Tabelle66[[#This Row],[Number of Contracts2]]+Tabelle66[[#This Row],[Number of Contracts4]]+Tabelle66[[#This Row],[Column1]]</f>
        <v>3609</v>
      </c>
      <c r="F34" s="435">
        <f>Tabelle4043[[#This Row],[Number of Contracts]]/$E$43</f>
        <v>9.6399380308777177E-2</v>
      </c>
      <c r="G34" s="468">
        <f>Tabelle66[[#This Row],[Outstanding Discounted Principal Balance3]]+Tabelle66[[#This Row],[Outstanding Discounted Principal Balance6]]+Tabelle66[[#This Row],[Column2]]</f>
        <v>32078972.630000003</v>
      </c>
      <c r="H34" s="435">
        <f>Tabelle4043[[#This Row],[Oustanding Discounted Principal Balance]]/$G$43</f>
        <v>4.7969123711378424E-2</v>
      </c>
      <c r="I34" s="396">
        <v>1932</v>
      </c>
      <c r="J34" s="480">
        <v>14064776.140000001</v>
      </c>
      <c r="K34" s="396">
        <v>1677</v>
      </c>
      <c r="L34" s="480">
        <v>18014196.490000002</v>
      </c>
      <c r="M34" s="396"/>
      <c r="N34" s="397"/>
      <c r="O34" s="441">
        <v>3435</v>
      </c>
      <c r="P34" s="484">
        <v>30771634.719999999</v>
      </c>
      <c r="Q34" s="441">
        <v>174</v>
      </c>
      <c r="R34" s="484">
        <v>1307337.9099999999</v>
      </c>
    </row>
    <row r="35" spans="1:18">
      <c r="D35" s="299" t="s">
        <v>368</v>
      </c>
      <c r="E35" s="361">
        <f>Tabelle66[[#This Row],[Number of Contracts2]]+Tabelle66[[#This Row],[Number of Contracts4]]+Tabelle66[[#This Row],[Column1]]</f>
        <v>7001</v>
      </c>
      <c r="F35" s="435">
        <f>Tabelle4043[[#This Row],[Number of Contracts]]/$E$43</f>
        <v>0.18700251081788558</v>
      </c>
      <c r="G35" s="468">
        <f>Tabelle66[[#This Row],[Outstanding Discounted Principal Balance3]]+Tabelle66[[#This Row],[Outstanding Discounted Principal Balance6]]+Tabelle66[[#This Row],[Column2]]</f>
        <v>78683849.25999999</v>
      </c>
      <c r="H35" s="435">
        <f>Tabelle4043[[#This Row],[Oustanding Discounted Principal Balance]]/$G$43</f>
        <v>0.11765948189096949</v>
      </c>
      <c r="I35" s="396">
        <v>4913</v>
      </c>
      <c r="J35" s="480">
        <v>47696667.869999997</v>
      </c>
      <c r="K35" s="396">
        <v>2088</v>
      </c>
      <c r="L35" s="480">
        <v>30987181.390000001</v>
      </c>
      <c r="M35" s="396"/>
      <c r="N35" s="397"/>
      <c r="O35" s="441">
        <v>6596</v>
      </c>
      <c r="P35" s="484">
        <v>74701109.900000006</v>
      </c>
      <c r="Q35" s="441">
        <v>405</v>
      </c>
      <c r="R35" s="484">
        <v>3982739.36</v>
      </c>
    </row>
    <row r="36" spans="1:18">
      <c r="D36" s="299" t="s">
        <v>369</v>
      </c>
      <c r="E36" s="361">
        <f>Tabelle66[[#This Row],[Number of Contracts2]]+Tabelle66[[#This Row],[Number of Contracts4]]+Tabelle66[[#This Row],[Column1]]</f>
        <v>7374</v>
      </c>
      <c r="F36" s="435">
        <f>Tabelle4043[[#This Row],[Number of Contracts]]/$E$43</f>
        <v>0.19696564987445911</v>
      </c>
      <c r="G36" s="468">
        <f>Tabelle66[[#This Row],[Outstanding Discounted Principal Balance3]]+Tabelle66[[#This Row],[Outstanding Discounted Principal Balance6]]+Tabelle66[[#This Row],[Column2]]</f>
        <v>106844973.66</v>
      </c>
      <c r="H36" s="435">
        <f>Tabelle4043[[#This Row],[Oustanding Discounted Principal Balance]]/$G$43</f>
        <v>0.15977007177101446</v>
      </c>
      <c r="I36" s="396">
        <v>5742</v>
      </c>
      <c r="J36" s="480">
        <v>73828821.950000003</v>
      </c>
      <c r="K36" s="396">
        <v>1632</v>
      </c>
      <c r="L36" s="480">
        <v>33016151.710000001</v>
      </c>
      <c r="M36" s="396"/>
      <c r="N36" s="397"/>
      <c r="O36" s="441">
        <v>6880</v>
      </c>
      <c r="P36" s="484">
        <v>100780131.27</v>
      </c>
      <c r="Q36" s="441">
        <v>494</v>
      </c>
      <c r="R36" s="484">
        <v>6064842.3899999997</v>
      </c>
    </row>
    <row r="37" spans="1:18">
      <c r="D37" s="299" t="s">
        <v>370</v>
      </c>
      <c r="E37" s="361">
        <f>Tabelle66[[#This Row],[Number of Contracts2]]+Tabelle66[[#This Row],[Number of Contracts4]]+Tabelle66[[#This Row],[Column1]]</f>
        <v>9624</v>
      </c>
      <c r="F37" s="435">
        <f>Tabelle4043[[#This Row],[Number of Contracts]]/$E$43</f>
        <v>0.25706501415673916</v>
      </c>
      <c r="G37" s="468">
        <f>Tabelle66[[#This Row],[Outstanding Discounted Principal Balance3]]+Tabelle66[[#This Row],[Outstanding Discounted Principal Balance6]]+Tabelle66[[#This Row],[Column2]]</f>
        <v>189049095.26999998</v>
      </c>
      <c r="H37" s="435">
        <f>Tabelle4043[[#This Row],[Oustanding Discounted Principal Balance]]/$G$43</f>
        <v>0.28269357448342924</v>
      </c>
      <c r="I37" s="396">
        <v>7896</v>
      </c>
      <c r="J37" s="480">
        <v>142222383.16</v>
      </c>
      <c r="K37" s="396">
        <v>1728</v>
      </c>
      <c r="L37" s="480">
        <v>46826712.109999999</v>
      </c>
      <c r="M37" s="396"/>
      <c r="N37" s="397"/>
      <c r="O37" s="441">
        <v>8507</v>
      </c>
      <c r="P37" s="484">
        <v>171024300.69</v>
      </c>
      <c r="Q37" s="441">
        <v>1117</v>
      </c>
      <c r="R37" s="484">
        <v>18024794.579999998</v>
      </c>
    </row>
    <row r="38" spans="1:18">
      <c r="D38" s="299" t="s">
        <v>371</v>
      </c>
      <c r="E38" s="361">
        <f>Tabelle66[[#This Row],[Number of Contracts2]]+Tabelle66[[#This Row],[Number of Contracts4]]+Tabelle66[[#This Row],[Column1]]</f>
        <v>4118</v>
      </c>
      <c r="F38" s="435">
        <f>Tabelle4043[[#This Row],[Number of Contracts]]/$E$43</f>
        <v>0.10999519205085742</v>
      </c>
      <c r="G38" s="468">
        <f>Tabelle66[[#This Row],[Outstanding Discounted Principal Balance3]]+Tabelle66[[#This Row],[Outstanding Discounted Principal Balance6]]+Tabelle66[[#This Row],[Column2]]</f>
        <v>122102197.47</v>
      </c>
      <c r="H38" s="435">
        <f>Tabelle4043[[#This Row],[Oustanding Discounted Principal Balance]]/$G$43</f>
        <v>0.18258488148688529</v>
      </c>
      <c r="I38" s="396">
        <v>3608</v>
      </c>
      <c r="J38" s="480">
        <v>104251262.38</v>
      </c>
      <c r="K38" s="396">
        <v>510</v>
      </c>
      <c r="L38" s="480">
        <v>17850935.09</v>
      </c>
      <c r="M38" s="396"/>
      <c r="N38" s="397"/>
      <c r="O38" s="441">
        <v>3435</v>
      </c>
      <c r="P38" s="484">
        <v>106380243.08</v>
      </c>
      <c r="Q38" s="441">
        <v>683</v>
      </c>
      <c r="R38" s="484">
        <v>15721954.390000001</v>
      </c>
    </row>
    <row r="39" spans="1:18">
      <c r="D39" s="299" t="s">
        <v>372</v>
      </c>
      <c r="E39" s="361">
        <f>Tabelle66[[#This Row],[Number of Contracts2]]+Tabelle66[[#This Row],[Number of Contracts4]]+Tabelle66[[#This Row],[Column1]]</f>
        <v>1716</v>
      </c>
      <c r="F39" s="435">
        <f>Tabelle4043[[#This Row],[Number of Contracts]]/$E$43</f>
        <v>4.5835781825952243E-2</v>
      </c>
      <c r="G39" s="468">
        <f>Tabelle66[[#This Row],[Outstanding Discounted Principal Balance3]]+Tabelle66[[#This Row],[Outstanding Discounted Principal Balance6]]+Tabelle66[[#This Row],[Column2]]</f>
        <v>63762176.939999998</v>
      </c>
      <c r="H39" s="435">
        <f>Tabelle4043[[#This Row],[Oustanding Discounted Principal Balance]]/$G$43</f>
        <v>9.5346437338247769E-2</v>
      </c>
      <c r="I39" s="396">
        <v>1570</v>
      </c>
      <c r="J39" s="480">
        <v>57522126.509999998</v>
      </c>
      <c r="K39" s="396">
        <v>146</v>
      </c>
      <c r="L39" s="480">
        <v>6240050.4300000006</v>
      </c>
      <c r="M39" s="396"/>
      <c r="N39" s="397"/>
      <c r="O39" s="441">
        <v>1490</v>
      </c>
      <c r="P39" s="484">
        <v>56981941.100000001</v>
      </c>
      <c r="Q39" s="441">
        <v>226</v>
      </c>
      <c r="R39" s="484">
        <v>6780235.8399999999</v>
      </c>
    </row>
    <row r="40" spans="1:18">
      <c r="D40" s="299" t="s">
        <v>373</v>
      </c>
      <c r="E40" s="361">
        <f>Tabelle66[[#This Row],[Number of Contracts2]]+Tabelle66[[#This Row],[Number of Contracts4]]+Tabelle66[[#This Row],[Column1]]</f>
        <v>863</v>
      </c>
      <c r="F40" s="435">
        <f>Tabelle4043[[#This Row],[Number of Contracts]]/$E$43</f>
        <v>2.3051445055825633E-2</v>
      </c>
      <c r="G40" s="468">
        <f>Tabelle66[[#This Row],[Outstanding Discounted Principal Balance3]]+Tabelle66[[#This Row],[Outstanding Discounted Principal Balance6]]+Tabelle66[[#This Row],[Column2]]</f>
        <v>30014020.82</v>
      </c>
      <c r="H40" s="435">
        <f>Tabelle4043[[#This Row],[Oustanding Discounted Principal Balance]]/$G$43</f>
        <v>4.4881308837304477E-2</v>
      </c>
      <c r="I40" s="396">
        <v>804</v>
      </c>
      <c r="J40" s="480">
        <v>27235965.609999999</v>
      </c>
      <c r="K40" s="396">
        <v>59</v>
      </c>
      <c r="L40" s="480">
        <v>2778055.21</v>
      </c>
      <c r="M40" s="396"/>
      <c r="N40" s="397"/>
      <c r="O40" s="441">
        <v>706</v>
      </c>
      <c r="P40" s="484">
        <v>25079643.059999999</v>
      </c>
      <c r="Q40" s="441">
        <v>157</v>
      </c>
      <c r="R40" s="484">
        <v>4934377.76</v>
      </c>
    </row>
    <row r="41" spans="1:18">
      <c r="D41" s="299" t="s">
        <v>374</v>
      </c>
      <c r="E41" s="361">
        <f>Tabelle66[[#This Row],[Number of Contracts2]]+Tabelle66[[#This Row],[Number of Contracts4]]+Tabelle66[[#This Row],[Column1]]</f>
        <v>629</v>
      </c>
      <c r="F41" s="435">
        <f>Tabelle4043[[#This Row],[Number of Contracts]]/$E$43</f>
        <v>1.6801111170468508E-2</v>
      </c>
      <c r="G41" s="468">
        <f>Tabelle66[[#This Row],[Outstanding Discounted Principal Balance3]]+Tabelle66[[#This Row],[Outstanding Discounted Principal Balance6]]+Tabelle66[[#This Row],[Column2]]</f>
        <v>21735798.490000002</v>
      </c>
      <c r="H41" s="435">
        <f>Tabelle4043[[#This Row],[Oustanding Discounted Principal Balance]]/$G$43</f>
        <v>3.2502512432624697E-2</v>
      </c>
      <c r="I41" s="396">
        <v>608</v>
      </c>
      <c r="J41" s="480">
        <v>20736150.210000001</v>
      </c>
      <c r="K41" s="396">
        <v>21</v>
      </c>
      <c r="L41" s="480">
        <v>999648.28</v>
      </c>
      <c r="M41" s="396"/>
      <c r="N41" s="397"/>
      <c r="O41" s="441">
        <v>421</v>
      </c>
      <c r="P41" s="484">
        <v>15206412.039999999</v>
      </c>
      <c r="Q41" s="441">
        <v>208</v>
      </c>
      <c r="R41" s="484">
        <v>6529386.4500000002</v>
      </c>
    </row>
    <row r="42" spans="1:18">
      <c r="A42" s="739" t="s">
        <v>651</v>
      </c>
      <c r="B42" s="739" t="s">
        <v>652</v>
      </c>
      <c r="C42" s="739" t="s">
        <v>653</v>
      </c>
      <c r="D42" s="299" t="s">
        <v>375</v>
      </c>
      <c r="E42" s="361">
        <f>Tabelle66[[#This Row],[Number of Contracts2]]+Tabelle66[[#This Row],[Number of Contracts4]]+Tabelle66[[#This Row],[Column1]]</f>
        <v>339</v>
      </c>
      <c r="F42" s="435">
        <f>Tabelle4043[[#This Row],[Number of Contracts]]/$E$43</f>
        <v>9.0549708851968592E-3</v>
      </c>
      <c r="G42" s="468">
        <f>Tabelle66[[#This Row],[Outstanding Discounted Principal Balance3]]+Tabelle66[[#This Row],[Outstanding Discounted Principal Balance6]]+Tabelle66[[#This Row],[Column2]]</f>
        <v>12500143.929999998</v>
      </c>
      <c r="H42" s="435">
        <f>Tabelle4043[[#This Row],[Oustanding Discounted Principal Balance]]/$G$43</f>
        <v>1.8692024757284313E-2</v>
      </c>
      <c r="I42" s="396">
        <v>325</v>
      </c>
      <c r="J42" s="480">
        <v>11844676.229999999</v>
      </c>
      <c r="K42" s="396">
        <v>14</v>
      </c>
      <c r="L42" s="480">
        <v>655467.69999999995</v>
      </c>
      <c r="M42" s="396"/>
      <c r="N42" s="397"/>
      <c r="O42" s="441">
        <v>205</v>
      </c>
      <c r="P42" s="484">
        <v>7813555.9900000002</v>
      </c>
      <c r="Q42" s="441">
        <v>134</v>
      </c>
      <c r="R42" s="484">
        <v>4686587.9399999995</v>
      </c>
    </row>
    <row r="43" spans="1:18">
      <c r="D43" s="309" t="s">
        <v>42</v>
      </c>
      <c r="E43" s="291">
        <f>Tabelle66[[#This Row],[Number of Contracts2]]+Tabelle66[[#This Row],[Number of Contracts4]]+Tabelle66[[#This Row],[Column1]]</f>
        <v>37438</v>
      </c>
      <c r="F43" s="311">
        <v>1</v>
      </c>
      <c r="G43" s="462">
        <f>Tabelle66[[#This Row],[Outstanding Discounted Principal Balance3]]+Tabelle66[[#This Row],[Outstanding Discounted Principal Balance6]]+Tabelle66[[#This Row],[Column2]]</f>
        <v>668742102.17000008</v>
      </c>
      <c r="H43" s="311">
        <v>1</v>
      </c>
      <c r="I43" s="399">
        <f t="shared" ref="I43" si="5">SUM(I31:I42)</f>
        <v>28483</v>
      </c>
      <c r="J43" s="483">
        <f t="shared" ref="J43" si="6">SUM(J31:J42)</f>
        <v>504582943.28000003</v>
      </c>
      <c r="K43" s="399">
        <f t="shared" ref="K43" si="7">SUM(K31:K42)</f>
        <v>8955</v>
      </c>
      <c r="L43" s="483">
        <f t="shared" ref="L43" si="8">SUM(L31:L42)</f>
        <v>164159158.89000002</v>
      </c>
      <c r="M43" s="399"/>
      <c r="N43" s="400"/>
      <c r="O43" s="399">
        <f t="shared" ref="O43" si="9">SUM(O31:O42)</f>
        <v>33800</v>
      </c>
      <c r="P43" s="483">
        <f>SUM(P31:P42)</f>
        <v>600514411.62999988</v>
      </c>
      <c r="Q43" s="399">
        <f t="shared" ref="Q43:R43" si="10">SUM(Q31:Q42)</f>
        <v>3638</v>
      </c>
      <c r="R43" s="483">
        <f t="shared" si="10"/>
        <v>68227690.540000007</v>
      </c>
    </row>
    <row r="44" spans="1:18"/>
    <row r="45" spans="1:18">
      <c r="D45" s="844" t="s">
        <v>186</v>
      </c>
      <c r="E45" s="845"/>
      <c r="F45" s="845"/>
      <c r="G45" s="845"/>
      <c r="H45" s="845"/>
      <c r="L45" s="482"/>
    </row>
    <row r="46" spans="1:18">
      <c r="D46" s="789" t="s">
        <v>498</v>
      </c>
      <c r="E46" s="789"/>
      <c r="F46" s="789"/>
      <c r="G46" s="843">
        <v>1125.9000000000001</v>
      </c>
      <c r="H46" s="843"/>
    </row>
    <row r="47" spans="1:18">
      <c r="D47" s="846" t="s">
        <v>499</v>
      </c>
      <c r="E47" s="846"/>
      <c r="F47" s="846"/>
      <c r="G47" s="847">
        <v>264056.03999999998</v>
      </c>
      <c r="H47" s="847"/>
    </row>
    <row r="48" spans="1:18">
      <c r="D48" s="789" t="s">
        <v>500</v>
      </c>
      <c r="E48" s="789"/>
      <c r="F48" s="789"/>
      <c r="G48" s="843">
        <v>39953.362088319598</v>
      </c>
      <c r="H48" s="843"/>
    </row>
    <row r="49"/>
    <row r="50" hidden="1"/>
    <row r="51" hidden="1"/>
    <row r="52" hidden="1"/>
  </sheetData>
  <mergeCells count="30">
    <mergeCell ref="E7:H8"/>
    <mergeCell ref="I7:N7"/>
    <mergeCell ref="O7:R7"/>
    <mergeCell ref="I8:J8"/>
    <mergeCell ref="K8:L8"/>
    <mergeCell ref="M8:N8"/>
    <mergeCell ref="O8:P8"/>
    <mergeCell ref="Q8:R8"/>
    <mergeCell ref="D23:H23"/>
    <mergeCell ref="D24:F24"/>
    <mergeCell ref="D25:F25"/>
    <mergeCell ref="D26:F26"/>
    <mergeCell ref="G24:H24"/>
    <mergeCell ref="G25:H25"/>
    <mergeCell ref="G26:H26"/>
    <mergeCell ref="D48:F48"/>
    <mergeCell ref="G48:H48"/>
    <mergeCell ref="E28:H29"/>
    <mergeCell ref="I28:N28"/>
    <mergeCell ref="O28:R28"/>
    <mergeCell ref="I29:J29"/>
    <mergeCell ref="K29:L29"/>
    <mergeCell ref="M29:N29"/>
    <mergeCell ref="O29:P29"/>
    <mergeCell ref="Q29:R29"/>
    <mergeCell ref="D45:H45"/>
    <mergeCell ref="D46:F46"/>
    <mergeCell ref="G46:H46"/>
    <mergeCell ref="D47:F47"/>
    <mergeCell ref="G47:H47"/>
  </mergeCells>
  <hyperlinks>
    <hyperlink ref="R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&amp;C20&amp;R&amp;K00-046Banco Volkswagen S.A.
Rua Volkswagen, nº 291
São Paulo - SP - Brazil
Tel: +55 11 5582 5591
TESOU-ABS@vwfs.com</oddFooter>
  </headerFooter>
  <ignoredErrors>
    <ignoredError sqref="O43 Q43 R43" calculatedColumn="1"/>
  </ignoredErrors>
  <drawing r:id="rId2"/>
  <tableParts count="4">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499984740745262"/>
    <pageSetUpPr fitToPage="1"/>
  </sheetPr>
  <dimension ref="A1:P76"/>
  <sheetViews>
    <sheetView showGridLines="0" topLeftCell="A10" zoomScale="85" zoomScaleNormal="85" workbookViewId="0">
      <selection activeCell="D50" sqref="D50:E50"/>
    </sheetView>
  </sheetViews>
  <sheetFormatPr defaultColWidth="0" defaultRowHeight="12.75" zeroHeight="1"/>
  <cols>
    <col min="1" max="1" width="20.7109375" customWidth="1"/>
    <col min="2" max="2" width="14.7109375" customWidth="1"/>
    <col min="3" max="3" width="12.7109375" customWidth="1"/>
    <col min="4" max="4" width="21.7109375" customWidth="1"/>
    <col min="5" max="5" width="14.7109375" customWidth="1"/>
    <col min="6" max="6" width="12.7109375" customWidth="1"/>
    <col min="7" max="7" width="21.7109375" customWidth="1"/>
    <col min="8" max="8" width="12.7109375" customWidth="1"/>
    <col min="9" max="9" width="21.7109375" customWidth="1"/>
    <col min="10" max="10" width="12.7109375" customWidth="1"/>
    <col min="11" max="11" width="21.7109375" customWidth="1"/>
    <col min="12" max="12" width="12.7109375" customWidth="1"/>
    <col min="13" max="13" width="21.7109375" customWidth="1"/>
    <col min="14" max="14" width="15.140625" hidden="1" customWidth="1"/>
    <col min="15" max="15" width="19.85546875" hidden="1" customWidth="1"/>
    <col min="16" max="16" width="0.5703125" customWidth="1"/>
    <col min="17" max="16384" width="14.5703125" hidden="1"/>
  </cols>
  <sheetData>
    <row r="1" spans="1:15" ht="14.25" customHeight="1">
      <c r="A1" s="224"/>
      <c r="B1" s="224"/>
      <c r="C1" s="224"/>
      <c r="D1" s="224"/>
      <c r="E1" s="224"/>
      <c r="F1" s="224"/>
      <c r="G1" s="224"/>
      <c r="H1" s="224"/>
      <c r="I1" s="224"/>
      <c r="J1" s="224"/>
      <c r="K1" s="224"/>
      <c r="L1" s="224"/>
      <c r="M1" s="226" t="str">
        <f>CONCATENATE("Publication Date: ",TEXT(Input!C7,"DD.MM.AAAA"))</f>
        <v>Publication Date: 05.03.2020</v>
      </c>
    </row>
    <row r="2" spans="1:15" ht="14.25" customHeight="1">
      <c r="A2" s="224"/>
      <c r="B2" s="224"/>
      <c r="C2" s="224"/>
      <c r="D2" s="224"/>
      <c r="E2" s="224"/>
      <c r="F2" s="224"/>
      <c r="G2" s="224"/>
      <c r="H2" s="224"/>
      <c r="I2" s="224"/>
      <c r="J2" s="224"/>
      <c r="K2" s="224"/>
      <c r="L2" s="224"/>
      <c r="M2" s="134" t="str">
        <f>CONCATENATE("Period: ",TEXT(Input!$C$5,"MM.AAAA")," / Period No. ",Input!$C$6)</f>
        <v>Period: 02.2020 / Period No. 9</v>
      </c>
    </row>
    <row r="3" spans="1:15" ht="14.25" customHeight="1">
      <c r="A3" s="224"/>
      <c r="B3" s="224"/>
      <c r="C3" s="224"/>
      <c r="D3" s="224"/>
      <c r="E3" s="224"/>
      <c r="F3" s="224"/>
      <c r="G3" s="224"/>
      <c r="H3" s="224"/>
      <c r="I3" s="224"/>
      <c r="J3" s="224"/>
      <c r="K3" s="224"/>
      <c r="L3" s="224"/>
      <c r="M3" s="383" t="s">
        <v>236</v>
      </c>
    </row>
    <row r="4" spans="1:15"/>
    <row r="5" spans="1:15" ht="15.75" customHeight="1">
      <c r="A5" s="118" t="s">
        <v>194</v>
      </c>
    </row>
    <row r="6" spans="1:15"/>
    <row r="7" spans="1:15" s="113" customFormat="1">
      <c r="A7"/>
      <c r="B7" s="798" t="s">
        <v>182</v>
      </c>
      <c r="C7" s="799"/>
      <c r="D7" s="799"/>
      <c r="E7" s="799"/>
      <c r="F7" s="854" t="s">
        <v>142</v>
      </c>
      <c r="G7" s="854"/>
      <c r="H7" s="854"/>
      <c r="I7" s="854"/>
      <c r="J7" s="854" t="s">
        <v>62</v>
      </c>
      <c r="K7" s="854"/>
      <c r="L7" s="854"/>
      <c r="M7" s="854"/>
      <c r="N7"/>
      <c r="O7"/>
    </row>
    <row r="8" spans="1:15" s="113" customFormat="1">
      <c r="A8" s="302"/>
      <c r="B8" s="835"/>
      <c r="C8" s="836"/>
      <c r="D8" s="836"/>
      <c r="E8" s="836"/>
      <c r="F8" s="839" t="s">
        <v>170</v>
      </c>
      <c r="G8" s="840"/>
      <c r="H8" s="839" t="s">
        <v>171</v>
      </c>
      <c r="I8" s="840"/>
      <c r="J8" s="839" t="s">
        <v>172</v>
      </c>
      <c r="K8" s="840"/>
      <c r="L8" s="842" t="s">
        <v>173</v>
      </c>
      <c r="M8" s="842"/>
    </row>
    <row r="9" spans="1:15" s="113" customFormat="1" ht="51">
      <c r="A9" s="303" t="s">
        <v>383</v>
      </c>
      <c r="B9" s="284" t="s">
        <v>41</v>
      </c>
      <c r="C9" s="284" t="s">
        <v>169</v>
      </c>
      <c r="D9" s="284" t="s">
        <v>483</v>
      </c>
      <c r="E9" s="304" t="s">
        <v>379</v>
      </c>
      <c r="F9" s="283" t="s">
        <v>255</v>
      </c>
      <c r="G9" s="284" t="s">
        <v>479</v>
      </c>
      <c r="H9" s="284" t="s">
        <v>256</v>
      </c>
      <c r="I9" s="284" t="s">
        <v>484</v>
      </c>
      <c r="J9" s="284" t="s">
        <v>258</v>
      </c>
      <c r="K9" s="284" t="s">
        <v>485</v>
      </c>
      <c r="L9" s="284" t="s">
        <v>259</v>
      </c>
      <c r="M9" s="304" t="s">
        <v>486</v>
      </c>
    </row>
    <row r="10" spans="1:15" s="113" customFormat="1">
      <c r="A10" s="315" t="s">
        <v>385</v>
      </c>
      <c r="B10" s="437">
        <f>+Tabelle68[[#This Row],[Number of Contracts2]]+Tabelle68[[#This Row],[Number of Contracts4]]</f>
        <v>109</v>
      </c>
      <c r="C10" s="438">
        <f>Tabelle434561[[#This Row],[Number of Contracts]]/$B$15</f>
        <v>2.911480314119344E-3</v>
      </c>
      <c r="D10" s="488">
        <f>+Tabelle68[[#This Row],[Outstanding Discounted Principal Balance3]]+Tabelle68[[#This Row],[Outstanding Discounted Principal Balance6]]</f>
        <v>739387.86</v>
      </c>
      <c r="E10" s="439">
        <f>Tabelle434561[[#This Row],[Oustanding Discounted Principal Balance]]/$D$15</f>
        <v>1.1056397639699395E-3</v>
      </c>
      <c r="F10" s="396">
        <v>97</v>
      </c>
      <c r="G10" s="480">
        <v>697179.77</v>
      </c>
      <c r="H10" s="396">
        <v>12</v>
      </c>
      <c r="I10" s="480">
        <v>42208.09</v>
      </c>
      <c r="J10" s="396">
        <v>56</v>
      </c>
      <c r="K10" s="396">
        <v>229102.34</v>
      </c>
      <c r="L10" s="396">
        <v>53</v>
      </c>
      <c r="M10" s="396">
        <v>510285.52</v>
      </c>
    </row>
    <row r="11" spans="1:15" s="113" customFormat="1">
      <c r="A11" s="316" t="s">
        <v>386</v>
      </c>
      <c r="B11" s="440">
        <f>+Tabelle68[[#This Row],[Number of Contracts2]]+Tabelle68[[#This Row],[Number of Contracts4]]</f>
        <v>12427</v>
      </c>
      <c r="C11" s="438">
        <f>Tabelle434561[[#This Row],[Number of Contracts]]/$B$15</f>
        <v>0.33193546663817514</v>
      </c>
      <c r="D11" s="488">
        <f>+Tabelle68[[#This Row],[Outstanding Discounted Principal Balance3]]+Tabelle68[[#This Row],[Outstanding Discounted Principal Balance6]]</f>
        <v>144917124.79000002</v>
      </c>
      <c r="E11" s="439">
        <f>Tabelle434561[[#This Row],[Oustanding Discounted Principal Balance]]/$D$15</f>
        <v>0.216701063563605</v>
      </c>
      <c r="F11" s="396">
        <v>11980</v>
      </c>
      <c r="G11" s="480">
        <v>141318433.43000001</v>
      </c>
      <c r="H11" s="396">
        <v>447</v>
      </c>
      <c r="I11" s="480">
        <v>3598691.36</v>
      </c>
      <c r="J11" s="396">
        <v>10854</v>
      </c>
      <c r="K11" s="396">
        <v>122948030.47</v>
      </c>
      <c r="L11" s="396">
        <v>1573</v>
      </c>
      <c r="M11" s="396">
        <v>21969094.32</v>
      </c>
    </row>
    <row r="12" spans="1:15" s="113" customFormat="1">
      <c r="A12" s="316" t="s">
        <v>387</v>
      </c>
      <c r="B12" s="440">
        <f>+Tabelle68[[#This Row],[Number of Contracts2]]+Tabelle68[[#This Row],[Number of Contracts4]]</f>
        <v>9080</v>
      </c>
      <c r="C12" s="438">
        <f>Tabelle434561[[#This Row],[Number of Contracts]]/$B$15</f>
        <v>0.24253432341471232</v>
      </c>
      <c r="D12" s="488">
        <f>+Tabelle68[[#This Row],[Outstanding Discounted Principal Balance3]]+Tabelle68[[#This Row],[Outstanding Discounted Principal Balance6]]</f>
        <v>135179294.92000002</v>
      </c>
      <c r="E12" s="439">
        <f>Tabelle434561[[#This Row],[Oustanding Discounted Principal Balance]]/$D$15</f>
        <v>0.20213965066855663</v>
      </c>
      <c r="F12" s="396">
        <v>7353</v>
      </c>
      <c r="G12" s="480">
        <v>113580141.37</v>
      </c>
      <c r="H12" s="396">
        <v>1727</v>
      </c>
      <c r="I12" s="480">
        <v>21599153.550000001</v>
      </c>
      <c r="J12" s="396">
        <v>7759</v>
      </c>
      <c r="K12" s="396">
        <v>110157510.64</v>
      </c>
      <c r="L12" s="396">
        <v>1321</v>
      </c>
      <c r="M12" s="396">
        <v>25021784.280000001</v>
      </c>
    </row>
    <row r="13" spans="1:15" s="113" customFormat="1">
      <c r="A13" s="316" t="s">
        <v>388</v>
      </c>
      <c r="B13" s="440">
        <f>+Tabelle68[[#This Row],[Number of Contracts2]]+Tabelle68[[#This Row],[Number of Contracts4]]</f>
        <v>11212</v>
      </c>
      <c r="C13" s="438">
        <f>Tabelle434561[[#This Row],[Number of Contracts]]/$B$15</f>
        <v>0.29948180992574391</v>
      </c>
      <c r="D13" s="488">
        <f>+Tabelle68[[#This Row],[Outstanding Discounted Principal Balance3]]+Tabelle68[[#This Row],[Outstanding Discounted Principal Balance6]]</f>
        <v>254482474.37</v>
      </c>
      <c r="E13" s="439">
        <f>Tabelle434561[[#This Row],[Oustanding Discounted Principal Balance]]/$D$15</f>
        <v>0.38053903521885385</v>
      </c>
      <c r="F13" s="396">
        <v>5852</v>
      </c>
      <c r="G13" s="480">
        <v>150348914.78</v>
      </c>
      <c r="H13" s="396">
        <v>5360</v>
      </c>
      <c r="I13" s="480">
        <v>104133559.59</v>
      </c>
      <c r="J13" s="396">
        <v>10641</v>
      </c>
      <c r="K13" s="396">
        <v>237914617.61000001</v>
      </c>
      <c r="L13" s="396">
        <v>571</v>
      </c>
      <c r="M13" s="396">
        <v>16567856.76</v>
      </c>
    </row>
    <row r="14" spans="1:15" s="113" customFormat="1">
      <c r="A14" s="316" t="s">
        <v>389</v>
      </c>
      <c r="B14" s="440">
        <f>+Tabelle68[[#This Row],[Number of Contracts2]]+Tabelle68[[#This Row],[Number of Contracts4]]</f>
        <v>4610</v>
      </c>
      <c r="C14" s="438">
        <f>Tabelle434561[[#This Row],[Number of Contracts]]/$B$15</f>
        <v>0.12313691970724931</v>
      </c>
      <c r="D14" s="488">
        <f>+Tabelle68[[#This Row],[Outstanding Discounted Principal Balance3]]+Tabelle68[[#This Row],[Outstanding Discounted Principal Balance6]]</f>
        <v>133423820.23</v>
      </c>
      <c r="E14" s="439">
        <f>Tabelle434561[[#This Row],[Oustanding Discounted Principal Balance]]/$D$15</f>
        <v>0.19951461078501456</v>
      </c>
      <c r="F14" s="396">
        <v>3201</v>
      </c>
      <c r="G14" s="480">
        <v>98638273.930000007</v>
      </c>
      <c r="H14" s="396">
        <v>1409</v>
      </c>
      <c r="I14" s="480">
        <v>34785546.299999997</v>
      </c>
      <c r="J14" s="396">
        <v>4490</v>
      </c>
      <c r="K14" s="396">
        <v>129265150.56999999</v>
      </c>
      <c r="L14" s="396">
        <v>120</v>
      </c>
      <c r="M14" s="396">
        <v>4158669.66</v>
      </c>
    </row>
    <row r="15" spans="1:15" s="113" customFormat="1">
      <c r="A15" s="290" t="s">
        <v>42</v>
      </c>
      <c r="B15" s="314">
        <f>+Tabelle68[[#This Row],[Number of Contracts2]]+Tabelle68[[#This Row],[Number of Contracts4]]</f>
        <v>37438</v>
      </c>
      <c r="C15" s="366">
        <f>Tabelle434561[[#This Row],[Number of Contracts]]/$B$15</f>
        <v>1</v>
      </c>
      <c r="D15" s="529">
        <f>+Tabelle68[[#This Row],[Outstanding Discounted Principal Balance3]]+Tabelle68[[#This Row],[Outstanding Discounted Principal Balance6]]</f>
        <v>668742102.17000008</v>
      </c>
      <c r="E15" s="367">
        <f>Tabelle434561[[#This Row],[Oustanding Discounted Principal Balance]]/$D$15</f>
        <v>1</v>
      </c>
      <c r="F15" s="399">
        <f>SUM(F8:F14)</f>
        <v>28483</v>
      </c>
      <c r="G15" s="483">
        <f t="shared" ref="G15:I15" si="0">SUM(G8:G14)</f>
        <v>504582943.28000003</v>
      </c>
      <c r="H15" s="399">
        <f t="shared" si="0"/>
        <v>8955</v>
      </c>
      <c r="I15" s="483">
        <f t="shared" si="0"/>
        <v>164159158.88999999</v>
      </c>
      <c r="J15" s="406">
        <f t="shared" ref="J15" si="1">SUM(J8:J14)</f>
        <v>33800</v>
      </c>
      <c r="K15" s="518">
        <f t="shared" ref="K15" si="2">SUM(K8:K14)</f>
        <v>600514411.63</v>
      </c>
      <c r="L15" s="406">
        <f t="shared" ref="L15" si="3">SUM(L8:L14)</f>
        <v>3638</v>
      </c>
      <c r="M15" s="518">
        <f t="shared" ref="M15" si="4">SUM(M8:M14)</f>
        <v>68227690.540000007</v>
      </c>
    </row>
    <row r="16" spans="1:15" s="113" customFormat="1">
      <c r="A16" s="388"/>
      <c r="B16" s="388"/>
      <c r="C16" s="388"/>
      <c r="D16" s="392"/>
      <c r="E16" s="392"/>
      <c r="F16" s="522"/>
      <c r="G16" s="523"/>
      <c r="H16" s="522"/>
      <c r="I16" s="523"/>
      <c r="J16" s="524"/>
      <c r="K16" s="524"/>
      <c r="L16" s="525"/>
      <c r="M16" s="524"/>
    </row>
    <row r="17" spans="1:15" s="113" customFormat="1">
      <c r="A17" s="844" t="s">
        <v>186</v>
      </c>
      <c r="B17" s="845"/>
      <c r="C17" s="845"/>
      <c r="D17" s="845"/>
      <c r="E17" s="845"/>
      <c r="F17" s="464"/>
      <c r="G17" s="464"/>
      <c r="H17" s="464"/>
      <c r="I17" s="526"/>
      <c r="J17" s="527"/>
      <c r="K17" s="527"/>
      <c r="L17" s="528"/>
      <c r="M17" s="527"/>
    </row>
    <row r="18" spans="1:15" s="113" customFormat="1">
      <c r="A18" s="789" t="s">
        <v>501</v>
      </c>
      <c r="B18" s="789"/>
      <c r="C18" s="789"/>
      <c r="D18" s="850">
        <v>6</v>
      </c>
      <c r="E18" s="851"/>
      <c r="F18" s="464"/>
      <c r="G18" s="464"/>
      <c r="H18" s="464"/>
      <c r="I18" s="526"/>
      <c r="J18" s="464"/>
      <c r="K18" s="464"/>
      <c r="L18" s="464"/>
      <c r="M18" s="464"/>
    </row>
    <row r="19" spans="1:15" s="113" customFormat="1">
      <c r="A19" s="846" t="s">
        <v>502</v>
      </c>
      <c r="B19" s="846"/>
      <c r="C19" s="846"/>
      <c r="D19" s="855">
        <v>60</v>
      </c>
      <c r="E19" s="856"/>
      <c r="I19" s="468"/>
    </row>
    <row r="20" spans="1:15" s="113" customFormat="1">
      <c r="A20" s="789" t="s">
        <v>503</v>
      </c>
      <c r="B20" s="789"/>
      <c r="C20" s="789"/>
      <c r="D20" s="850">
        <v>37.222189448845398</v>
      </c>
      <c r="E20" s="851"/>
    </row>
    <row r="21" spans="1:15" s="113" customFormat="1">
      <c r="A21"/>
      <c r="B21"/>
      <c r="C21"/>
      <c r="D21"/>
      <c r="E21"/>
    </row>
    <row r="22" spans="1:15" s="113" customFormat="1">
      <c r="A22"/>
      <c r="B22" s="798" t="s">
        <v>182</v>
      </c>
      <c r="C22" s="799"/>
      <c r="D22" s="799"/>
      <c r="E22" s="799"/>
      <c r="F22" s="824" t="s">
        <v>142</v>
      </c>
      <c r="G22" s="825"/>
      <c r="H22" s="825"/>
      <c r="I22" s="826"/>
      <c r="J22" s="824" t="s">
        <v>62</v>
      </c>
      <c r="K22" s="825"/>
      <c r="L22" s="825"/>
      <c r="M22" s="826"/>
    </row>
    <row r="23" spans="1:15">
      <c r="A23" s="302"/>
      <c r="B23" s="835"/>
      <c r="C23" s="836"/>
      <c r="D23" s="836"/>
      <c r="E23" s="836"/>
      <c r="F23" s="839" t="s">
        <v>170</v>
      </c>
      <c r="G23" s="840"/>
      <c r="H23" s="839" t="s">
        <v>171</v>
      </c>
      <c r="I23" s="840"/>
      <c r="J23" s="839" t="s">
        <v>172</v>
      </c>
      <c r="K23" s="840"/>
      <c r="L23" s="857" t="s">
        <v>173</v>
      </c>
      <c r="M23" s="858"/>
      <c r="N23" s="464"/>
    </row>
    <row r="24" spans="1:15" ht="51">
      <c r="A24" s="303" t="s">
        <v>384</v>
      </c>
      <c r="B24" s="284" t="s">
        <v>41</v>
      </c>
      <c r="C24" s="284" t="s">
        <v>169</v>
      </c>
      <c r="D24" s="284" t="s">
        <v>483</v>
      </c>
      <c r="E24" s="304" t="s">
        <v>379</v>
      </c>
      <c r="F24" s="283" t="s">
        <v>255</v>
      </c>
      <c r="G24" s="284" t="s">
        <v>479</v>
      </c>
      <c r="H24" s="284" t="s">
        <v>256</v>
      </c>
      <c r="I24" s="284" t="s">
        <v>484</v>
      </c>
      <c r="J24" s="284" t="s">
        <v>258</v>
      </c>
      <c r="K24" s="284" t="s">
        <v>485</v>
      </c>
      <c r="L24" s="284" t="s">
        <v>259</v>
      </c>
      <c r="M24" s="304" t="s">
        <v>486</v>
      </c>
      <c r="N24" s="464" t="s">
        <v>311</v>
      </c>
      <c r="O24" s="464" t="s">
        <v>312</v>
      </c>
    </row>
    <row r="25" spans="1:15">
      <c r="A25" s="315" t="s">
        <v>385</v>
      </c>
      <c r="B25" s="361">
        <f>+Tabelle69[[#This Row],[Number of Contracts2]]+Tabelle69[[#This Row],[Number of Contracts4]]</f>
        <v>15265</v>
      </c>
      <c r="C25" s="435">
        <f>Tabelle4345[[#This Row],[Number of Contracts]]/$B$30</f>
        <v>0.40774079811955766</v>
      </c>
      <c r="D25" s="468">
        <f>+Tabelle69[[#This Row],[Outstanding Discounted Principal Balance3]]+Tabelle69[[#This Row],[Outstanding Discounted Principal Balance6]]</f>
        <v>138836790.78</v>
      </c>
      <c r="E25" s="436">
        <f>Tabelle4345[[#This Row],[Oustanding Discounted Principal Balance]]/$D$30</f>
        <v>0.20760886794698399</v>
      </c>
      <c r="F25" s="396">
        <v>13402</v>
      </c>
      <c r="G25" s="480">
        <v>128482135.77</v>
      </c>
      <c r="H25" s="396">
        <v>1863</v>
      </c>
      <c r="I25" s="480">
        <v>10354655.01</v>
      </c>
      <c r="J25" s="519">
        <v>13323</v>
      </c>
      <c r="K25" s="517">
        <v>116941433.83</v>
      </c>
      <c r="L25" s="405">
        <v>1942</v>
      </c>
      <c r="M25" s="517">
        <v>21895356.949999999</v>
      </c>
      <c r="N25" s="464"/>
      <c r="O25" s="464"/>
    </row>
    <row r="26" spans="1:15">
      <c r="A26" s="316" t="s">
        <v>386</v>
      </c>
      <c r="B26" s="361">
        <f>+Tabelle69[[#This Row],[Number of Contracts2]]+Tabelle69[[#This Row],[Number of Contracts4]]</f>
        <v>10830</v>
      </c>
      <c r="C26" s="435">
        <f>Tabelle4345[[#This Row],[Number of Contracts]]/$B$30</f>
        <v>0.28927827341204126</v>
      </c>
      <c r="D26" s="468">
        <f>+Tabelle69[[#This Row],[Outstanding Discounted Principal Balance3]]+Tabelle69[[#This Row],[Outstanding Discounted Principal Balance6]]</f>
        <v>186085070.18000001</v>
      </c>
      <c r="E26" s="436">
        <f>Tabelle4345[[#This Row],[Oustanding Discounted Principal Balance]]/$D$30</f>
        <v>0.27826133508892731</v>
      </c>
      <c r="F26" s="396">
        <v>8294</v>
      </c>
      <c r="G26" s="480">
        <v>150008660.08000001</v>
      </c>
      <c r="H26" s="396">
        <v>2536</v>
      </c>
      <c r="I26" s="480">
        <v>36076410.100000001</v>
      </c>
      <c r="J26" s="519">
        <v>9733</v>
      </c>
      <c r="K26" s="517">
        <v>160677427.59999999</v>
      </c>
      <c r="L26" s="405">
        <v>1097</v>
      </c>
      <c r="M26" s="517">
        <v>25407642.579999998</v>
      </c>
      <c r="N26" s="464"/>
      <c r="O26" s="464"/>
    </row>
    <row r="27" spans="1:15">
      <c r="A27" s="316" t="s">
        <v>387</v>
      </c>
      <c r="B27" s="361">
        <f>+Tabelle69[[#This Row],[Number of Contracts2]]+Tabelle69[[#This Row],[Number of Contracts4]]</f>
        <v>7542</v>
      </c>
      <c r="C27" s="435">
        <f>Tabelle4345[[#This Row],[Number of Contracts]]/$B$30</f>
        <v>0.20145306907420268</v>
      </c>
      <c r="D27" s="468">
        <f>+Tabelle69[[#This Row],[Outstanding Discounted Principal Balance3]]+Tabelle69[[#This Row],[Outstanding Discounted Principal Balance6]]</f>
        <v>204081099.68000001</v>
      </c>
      <c r="E27" s="436">
        <f>Tabelle4345[[#This Row],[Oustanding Discounted Principal Balance]]/$D$30</f>
        <v>0.30517160354907763</v>
      </c>
      <c r="F27" s="396">
        <v>4564</v>
      </c>
      <c r="G27" s="480">
        <v>135433078.77000001</v>
      </c>
      <c r="H27" s="396">
        <v>2978</v>
      </c>
      <c r="I27" s="480">
        <v>68648020.909999996</v>
      </c>
      <c r="J27" s="519">
        <v>7080</v>
      </c>
      <c r="K27" s="517">
        <v>189159445.44999999</v>
      </c>
      <c r="L27" s="405">
        <v>462</v>
      </c>
      <c r="M27" s="517">
        <v>14921654.23</v>
      </c>
      <c r="N27" s="464"/>
      <c r="O27" s="464"/>
    </row>
    <row r="28" spans="1:15">
      <c r="A28" s="316" t="s">
        <v>388</v>
      </c>
      <c r="B28" s="361">
        <f>+Tabelle69[[#This Row],[Number of Contracts2]]+Tabelle69[[#This Row],[Number of Contracts4]]</f>
        <v>3675</v>
      </c>
      <c r="C28" s="435">
        <f>Tabelle4345[[#This Row],[Number of Contracts]]/$B$30</f>
        <v>9.816229499439072E-2</v>
      </c>
      <c r="D28" s="468">
        <f>+Tabelle69[[#This Row],[Outstanding Discounted Principal Balance3]]+Tabelle69[[#This Row],[Outstanding Discounted Principal Balance6]]</f>
        <v>134318369.71000001</v>
      </c>
      <c r="E28" s="436">
        <f>Tabelle4345[[#This Row],[Oustanding Discounted Principal Balance]]/$D$30</f>
        <v>0.20085227066480574</v>
      </c>
      <c r="F28" s="396">
        <v>2146</v>
      </c>
      <c r="G28" s="480">
        <v>86994480.760000005</v>
      </c>
      <c r="H28" s="396">
        <v>1529</v>
      </c>
      <c r="I28" s="480">
        <v>47323888.950000003</v>
      </c>
      <c r="J28" s="519">
        <v>3541</v>
      </c>
      <c r="K28" s="517">
        <v>128459620.27</v>
      </c>
      <c r="L28" s="405">
        <v>134</v>
      </c>
      <c r="M28" s="517">
        <v>5858749.4400000004</v>
      </c>
      <c r="N28" s="464"/>
      <c r="O28" s="464"/>
    </row>
    <row r="29" spans="1:15">
      <c r="A29" s="316" t="s">
        <v>389</v>
      </c>
      <c r="B29" s="361">
        <f>+Tabelle69[[#This Row],[Number of Contracts2]]+Tabelle69[[#This Row],[Number of Contracts4]]</f>
        <v>126</v>
      </c>
      <c r="C29" s="435">
        <f>Tabelle4345[[#This Row],[Number of Contracts]]/$B$30</f>
        <v>3.3655643998076819E-3</v>
      </c>
      <c r="D29" s="468">
        <f>+Tabelle69[[#This Row],[Outstanding Discounted Principal Balance3]]+Tabelle69[[#This Row],[Outstanding Discounted Principal Balance6]]</f>
        <v>5420771.8200000003</v>
      </c>
      <c r="E29" s="436">
        <f>Tabelle4345[[#This Row],[Oustanding Discounted Principal Balance]]/$D$30</f>
        <v>8.1059227502054201E-3</v>
      </c>
      <c r="F29" s="396">
        <v>77</v>
      </c>
      <c r="G29" s="480">
        <v>3664587.9</v>
      </c>
      <c r="H29" s="396">
        <v>49</v>
      </c>
      <c r="I29" s="480">
        <v>1756183.92</v>
      </c>
      <c r="J29" s="519">
        <v>123</v>
      </c>
      <c r="K29" s="517">
        <v>5276484.4800000004</v>
      </c>
      <c r="L29" s="405">
        <v>3</v>
      </c>
      <c r="M29" s="517">
        <v>144287.34</v>
      </c>
      <c r="N29" s="464"/>
      <c r="O29" s="464"/>
    </row>
    <row r="30" spans="1:15">
      <c r="A30" s="290" t="s">
        <v>42</v>
      </c>
      <c r="B30" s="291">
        <f>+Tabelle69[[#This Row],[Number of Contracts2]]+Tabelle69[[#This Row],[Number of Contracts4]]</f>
        <v>37438</v>
      </c>
      <c r="C30" s="311">
        <v>1</v>
      </c>
      <c r="D30" s="462">
        <f>+Tabelle69[[#This Row],[Outstanding Discounted Principal Balance3]]+Tabelle69[[#This Row],[Outstanding Discounted Principal Balance6]]</f>
        <v>668742102.16999996</v>
      </c>
      <c r="E30" s="313">
        <v>1</v>
      </c>
      <c r="F30" s="399">
        <f t="shared" ref="F30:M30" si="5">SUM(F25:F29)</f>
        <v>28483</v>
      </c>
      <c r="G30" s="483">
        <f t="shared" si="5"/>
        <v>504582943.27999997</v>
      </c>
      <c r="H30" s="399">
        <f t="shared" si="5"/>
        <v>8955</v>
      </c>
      <c r="I30" s="483">
        <f t="shared" si="5"/>
        <v>164159158.88999999</v>
      </c>
      <c r="J30" s="399">
        <f t="shared" si="5"/>
        <v>33800</v>
      </c>
      <c r="K30" s="483">
        <f t="shared" si="5"/>
        <v>600514411.63</v>
      </c>
      <c r="L30" s="399">
        <f t="shared" si="5"/>
        <v>3638</v>
      </c>
      <c r="M30" s="483">
        <f t="shared" si="5"/>
        <v>68227690.540000007</v>
      </c>
      <c r="N30" s="464"/>
      <c r="O30" s="464"/>
    </row>
    <row r="31" spans="1:15">
      <c r="N31" s="464"/>
      <c r="O31" s="464"/>
    </row>
    <row r="32" spans="1:15">
      <c r="A32" s="844" t="s">
        <v>186</v>
      </c>
      <c r="B32" s="845"/>
      <c r="C32" s="845"/>
      <c r="D32" s="845"/>
      <c r="E32" s="845"/>
      <c r="N32" s="464"/>
      <c r="O32" s="464"/>
    </row>
    <row r="33" spans="1:15">
      <c r="A33" s="789" t="s">
        <v>390</v>
      </c>
      <c r="B33" s="789"/>
      <c r="C33" s="789"/>
      <c r="D33" s="850">
        <v>0</v>
      </c>
      <c r="E33" s="851"/>
    </row>
    <row r="34" spans="1:15">
      <c r="A34" s="846" t="s">
        <v>187</v>
      </c>
      <c r="B34" s="846"/>
      <c r="C34" s="846"/>
      <c r="D34" s="853">
        <v>49</v>
      </c>
      <c r="E34" s="853"/>
    </row>
    <row r="35" spans="1:15">
      <c r="A35" s="789" t="s">
        <v>188</v>
      </c>
      <c r="B35" s="789"/>
      <c r="C35" s="789"/>
      <c r="D35" s="848">
        <v>18.461616539345101</v>
      </c>
      <c r="E35" s="849"/>
      <c r="G35" s="530"/>
    </row>
    <row r="36" spans="1:15"/>
    <row r="37" spans="1:15">
      <c r="B37" s="798" t="s">
        <v>182</v>
      </c>
      <c r="C37" s="799"/>
      <c r="D37" s="799"/>
      <c r="E37" s="799"/>
      <c r="F37" s="824" t="s">
        <v>142</v>
      </c>
      <c r="G37" s="825"/>
      <c r="H37" s="825"/>
      <c r="I37" s="826"/>
      <c r="J37" s="824" t="s">
        <v>62</v>
      </c>
      <c r="K37" s="825"/>
      <c r="L37" s="825"/>
      <c r="M37" s="826"/>
    </row>
    <row r="38" spans="1:15">
      <c r="A38" s="302"/>
      <c r="B38" s="835"/>
      <c r="C38" s="836"/>
      <c r="D38" s="836"/>
      <c r="E38" s="836"/>
      <c r="F38" s="839" t="s">
        <v>170</v>
      </c>
      <c r="G38" s="840"/>
      <c r="H38" s="839" t="s">
        <v>171</v>
      </c>
      <c r="I38" s="840"/>
      <c r="J38" s="839" t="s">
        <v>172</v>
      </c>
      <c r="K38" s="840"/>
      <c r="L38" s="857" t="s">
        <v>173</v>
      </c>
      <c r="M38" s="858"/>
      <c r="N38" s="464"/>
      <c r="O38" s="464"/>
    </row>
    <row r="39" spans="1:15" ht="51">
      <c r="A39" s="303" t="s">
        <v>243</v>
      </c>
      <c r="B39" s="284" t="s">
        <v>41</v>
      </c>
      <c r="C39" s="284" t="s">
        <v>169</v>
      </c>
      <c r="D39" s="284" t="s">
        <v>483</v>
      </c>
      <c r="E39" s="304" t="s">
        <v>379</v>
      </c>
      <c r="F39" s="283" t="s">
        <v>255</v>
      </c>
      <c r="G39" s="284" t="s">
        <v>479</v>
      </c>
      <c r="H39" s="284" t="s">
        <v>256</v>
      </c>
      <c r="I39" s="284" t="s">
        <v>484</v>
      </c>
      <c r="J39" s="284" t="s">
        <v>258</v>
      </c>
      <c r="K39" s="284" t="s">
        <v>485</v>
      </c>
      <c r="L39" s="284" t="s">
        <v>259</v>
      </c>
      <c r="M39" s="304" t="s">
        <v>486</v>
      </c>
      <c r="N39" s="464" t="s">
        <v>311</v>
      </c>
      <c r="O39" s="464" t="s">
        <v>312</v>
      </c>
    </row>
    <row r="40" spans="1:15">
      <c r="A40" s="315" t="s">
        <v>385</v>
      </c>
      <c r="B40" s="361">
        <f>+Tabelle70[[#This Row],[Number of Contracts2]]+Tabelle70[[#This Row],[Number of Contracts4]]</f>
        <v>7624</v>
      </c>
      <c r="C40" s="435">
        <f>+Tabelle434546[[#This Row],[Number of Contracts]]/$B$46</f>
        <v>0.20364335701693467</v>
      </c>
      <c r="D40" s="468">
        <f>+Tabelle70[[#This Row],[Outstanding Discounted Principal Balance3]]+Tabelle70[[#This Row],[Outstanding Discounted Principal Balance6]]</f>
        <v>175763423.97999999</v>
      </c>
      <c r="E40" s="436">
        <f>+Tabelle434546[[#This Row],[Oustanding Discounted Principal Balance]]/$D$46</f>
        <v>0.26282691550250176</v>
      </c>
      <c r="F40" s="396">
        <v>5918</v>
      </c>
      <c r="G40" s="480">
        <v>130375030.66</v>
      </c>
      <c r="H40" s="396">
        <v>1706</v>
      </c>
      <c r="I40" s="480">
        <v>45388393.32</v>
      </c>
      <c r="J40" s="405">
        <v>6952</v>
      </c>
      <c r="K40" s="405">
        <v>157787251.19</v>
      </c>
      <c r="L40" s="405">
        <v>672</v>
      </c>
      <c r="M40" s="517">
        <v>17976172.789999999</v>
      </c>
      <c r="N40" s="464"/>
      <c r="O40" s="464"/>
    </row>
    <row r="41" spans="1:15">
      <c r="A41" s="316" t="s">
        <v>386</v>
      </c>
      <c r="B41" s="361">
        <f>+Tabelle70[[#This Row],[Number of Contracts2]]+Tabelle70[[#This Row],[Number of Contracts4]]</f>
        <v>21197</v>
      </c>
      <c r="C41" s="435">
        <f>+Tabelle434546[[#This Row],[Number of Contracts]]/$B$46</f>
        <v>0.56618943319621773</v>
      </c>
      <c r="D41" s="468">
        <f>+Tabelle70[[#This Row],[Outstanding Discounted Principal Balance3]]+Tabelle70[[#This Row],[Outstanding Discounted Principal Balance6]]</f>
        <v>388113732.06</v>
      </c>
      <c r="E41" s="436">
        <f>+Tabelle434546[[#This Row],[Oustanding Discounted Principal Balance]]/$D$46</f>
        <v>0.5803638365232433</v>
      </c>
      <c r="F41" s="396">
        <v>17157</v>
      </c>
      <c r="G41" s="480">
        <v>304075447.68000001</v>
      </c>
      <c r="H41" s="396">
        <v>4040</v>
      </c>
      <c r="I41" s="480">
        <v>84038284.379999995</v>
      </c>
      <c r="J41" s="405">
        <v>18843</v>
      </c>
      <c r="K41" s="405">
        <v>345094501.72000003</v>
      </c>
      <c r="L41" s="405">
        <v>2354</v>
      </c>
      <c r="M41" s="517">
        <v>43019230.340000004</v>
      </c>
      <c r="N41" s="464"/>
      <c r="O41" s="464"/>
    </row>
    <row r="42" spans="1:15">
      <c r="A42" s="316" t="s">
        <v>387</v>
      </c>
      <c r="B42" s="361">
        <f>+Tabelle70[[#This Row],[Number of Contracts2]]+Tabelle70[[#This Row],[Number of Contracts4]]</f>
        <v>6265</v>
      </c>
      <c r="C42" s="435">
        <f>+Tabelle434546[[#This Row],[Number of Contracts]]/$B$46</f>
        <v>0.16734334099043752</v>
      </c>
      <c r="D42" s="468">
        <f>+Tabelle70[[#This Row],[Outstanding Discounted Principal Balance3]]+Tabelle70[[#This Row],[Outstanding Discounted Principal Balance6]]</f>
        <v>86616200.890000001</v>
      </c>
      <c r="E42" s="436">
        <f>+Tabelle434546[[#This Row],[Oustanding Discounted Principal Balance]]/$D$46</f>
        <v>0.12952108235587267</v>
      </c>
      <c r="F42" s="396">
        <v>4007</v>
      </c>
      <c r="G42" s="480">
        <v>58107174.630000003</v>
      </c>
      <c r="H42" s="396">
        <v>2258</v>
      </c>
      <c r="I42" s="480">
        <v>28509026.259999998</v>
      </c>
      <c r="J42" s="405">
        <v>5737</v>
      </c>
      <c r="K42" s="405">
        <v>80105886.540000007</v>
      </c>
      <c r="L42" s="405">
        <v>528</v>
      </c>
      <c r="M42" s="517">
        <v>6510314.3499999996</v>
      </c>
      <c r="N42" s="464"/>
      <c r="O42" s="464"/>
    </row>
    <row r="43" spans="1:15">
      <c r="A43" s="316" t="s">
        <v>388</v>
      </c>
      <c r="B43" s="361">
        <f>+Tabelle70[[#This Row],[Number of Contracts2]]+Tabelle70[[#This Row],[Number of Contracts4]]</f>
        <v>1818</v>
      </c>
      <c r="C43" s="435">
        <f>+Tabelle434546[[#This Row],[Number of Contracts]]/$B$46</f>
        <v>4.8560286340082269E-2</v>
      </c>
      <c r="D43" s="468">
        <f>+Tabelle70[[#This Row],[Outstanding Discounted Principal Balance3]]+Tabelle70[[#This Row],[Outstanding Discounted Principal Balance6]]</f>
        <v>15798272.82</v>
      </c>
      <c r="E43" s="436">
        <f>+Tabelle434546[[#This Row],[Oustanding Discounted Principal Balance]]/$D$46</f>
        <v>2.3623864519276134E-2</v>
      </c>
      <c r="F43" s="396">
        <v>1005</v>
      </c>
      <c r="G43" s="480">
        <v>10176350.73</v>
      </c>
      <c r="H43" s="396">
        <v>813</v>
      </c>
      <c r="I43" s="480">
        <v>5621922.0899999999</v>
      </c>
      <c r="J43" s="405">
        <v>1749</v>
      </c>
      <c r="K43" s="405">
        <v>15153786.82</v>
      </c>
      <c r="L43" s="405">
        <v>69</v>
      </c>
      <c r="M43" s="517">
        <v>644486</v>
      </c>
      <c r="N43" s="464"/>
      <c r="O43" s="464"/>
    </row>
    <row r="44" spans="1:15">
      <c r="A44" s="316" t="s">
        <v>389</v>
      </c>
      <c r="B44" s="361">
        <f>+Tabelle70[[#This Row],[Number of Contracts2]]+Tabelle70[[#This Row],[Number of Contracts4]]</f>
        <v>534</v>
      </c>
      <c r="C44" s="435">
        <f>+Tabelle434546[[#This Row],[Number of Contracts]]/$B$46</f>
        <v>1.4263582456327795E-2</v>
      </c>
      <c r="D44" s="468">
        <f>+Tabelle70[[#This Row],[Outstanding Discounted Principal Balance3]]+Tabelle70[[#This Row],[Outstanding Discounted Principal Balance6]]</f>
        <v>2450472.42</v>
      </c>
      <c r="E44" s="436">
        <f>+Tabelle434546[[#This Row],[Oustanding Discounted Principal Balance]]/$D$46</f>
        <v>3.6643010991060177E-3</v>
      </c>
      <c r="F44" s="396">
        <v>396</v>
      </c>
      <c r="G44" s="480">
        <v>1848939.58</v>
      </c>
      <c r="H44" s="396">
        <v>138</v>
      </c>
      <c r="I44" s="480">
        <v>601532.84</v>
      </c>
      <c r="J44" s="405">
        <v>519</v>
      </c>
      <c r="K44" s="405">
        <v>2372985.36</v>
      </c>
      <c r="L44" s="405">
        <v>15</v>
      </c>
      <c r="M44" s="517">
        <v>77487.06</v>
      </c>
      <c r="N44" s="464"/>
      <c r="O44" s="464"/>
    </row>
    <row r="45" spans="1:15">
      <c r="A45" s="316" t="s">
        <v>603</v>
      </c>
      <c r="B45" s="361"/>
      <c r="C45" s="435"/>
      <c r="D45" s="468"/>
      <c r="E45" s="436"/>
      <c r="F45" s="396">
        <v>0</v>
      </c>
      <c r="G45" s="480">
        <v>0</v>
      </c>
      <c r="H45" s="396">
        <v>0</v>
      </c>
      <c r="I45" s="480">
        <v>0</v>
      </c>
      <c r="J45" s="405">
        <v>0</v>
      </c>
      <c r="K45" s="405">
        <v>0</v>
      </c>
      <c r="L45" s="405">
        <v>0</v>
      </c>
      <c r="M45" s="517">
        <v>0</v>
      </c>
      <c r="N45" s="670"/>
      <c r="O45" s="671"/>
    </row>
    <row r="46" spans="1:15">
      <c r="A46" s="290" t="s">
        <v>42</v>
      </c>
      <c r="B46" s="291">
        <f>+Tabelle70[[#This Row],[Number of Contracts2]]+Tabelle70[[#This Row],[Number of Contracts4]]</f>
        <v>37438</v>
      </c>
      <c r="C46" s="311">
        <v>1</v>
      </c>
      <c r="D46" s="462">
        <f>+Tabelle70[[#This Row],[Outstanding Discounted Principal Balance3]]+Tabelle70[[#This Row],[Outstanding Discounted Principal Balance6]]</f>
        <v>668742102.17000008</v>
      </c>
      <c r="E46" s="313">
        <v>1</v>
      </c>
      <c r="F46" s="399">
        <f>SUM(F40:F45)</f>
        <v>28483</v>
      </c>
      <c r="G46" s="483">
        <f t="shared" ref="G46:J46" si="6">SUM(G40:G45)</f>
        <v>504582943.28000003</v>
      </c>
      <c r="H46" s="399">
        <f t="shared" si="6"/>
        <v>8955</v>
      </c>
      <c r="I46" s="483">
        <f t="shared" si="6"/>
        <v>164159158.88999999</v>
      </c>
      <c r="J46" s="399">
        <f t="shared" si="6"/>
        <v>33800</v>
      </c>
      <c r="K46" s="483">
        <f>SUM(K40:K45)</f>
        <v>600514411.63000011</v>
      </c>
      <c r="L46" s="399">
        <f>SUM(L40:L45)</f>
        <v>3638</v>
      </c>
      <c r="M46" s="483">
        <f>SUM(M40:M45)</f>
        <v>68227690.540000007</v>
      </c>
      <c r="N46" s="464"/>
      <c r="O46" s="464"/>
    </row>
    <row r="47" spans="1:15">
      <c r="N47" s="464"/>
      <c r="O47" s="464"/>
    </row>
    <row r="48" spans="1:15">
      <c r="A48" s="844" t="s">
        <v>186</v>
      </c>
      <c r="B48" s="845"/>
      <c r="C48" s="845"/>
      <c r="D48" s="845"/>
      <c r="E48" s="845"/>
    </row>
    <row r="49" spans="1:5">
      <c r="A49" s="789" t="s">
        <v>227</v>
      </c>
      <c r="B49" s="789"/>
      <c r="C49" s="789"/>
      <c r="D49" s="850">
        <v>10</v>
      </c>
      <c r="E49" s="851"/>
    </row>
    <row r="50" spans="1:5">
      <c r="A50" s="846" t="s">
        <v>228</v>
      </c>
      <c r="B50" s="846"/>
      <c r="C50" s="846"/>
      <c r="D50" s="852">
        <v>61</v>
      </c>
      <c r="E50" s="852"/>
    </row>
    <row r="51" spans="1:5">
      <c r="A51" s="789" t="s">
        <v>229</v>
      </c>
      <c r="B51" s="789"/>
      <c r="C51" s="789"/>
      <c r="D51" s="848">
        <v>19.782066349698201</v>
      </c>
      <c r="E51" s="849"/>
    </row>
    <row r="52" spans="1:5">
      <c r="E52" s="530"/>
    </row>
    <row r="53" spans="1:5" hidden="1"/>
    <row r="54" spans="1:5" hidden="1"/>
    <row r="55" spans="1:5" hidden="1"/>
    <row r="56" spans="1:5" hidden="1"/>
    <row r="57" spans="1:5" hidden="1"/>
    <row r="58" spans="1:5" hidden="1"/>
    <row r="59" spans="1:5" hidden="1"/>
    <row r="60" spans="1:5" hidden="1"/>
    <row r="61" spans="1:5" hidden="1"/>
    <row r="62" spans="1:5" hidden="1"/>
    <row r="63" spans="1:5" hidden="1"/>
    <row r="64" spans="1:5" hidden="1"/>
    <row r="65" hidden="1"/>
    <row r="66" hidden="1"/>
    <row r="67" hidden="1"/>
    <row r="68" hidden="1"/>
    <row r="69" hidden="1"/>
    <row r="70" hidden="1"/>
    <row r="71" hidden="1"/>
    <row r="72" hidden="1"/>
    <row r="73" hidden="1"/>
    <row r="74" hidden="1"/>
    <row r="75" hidden="1"/>
    <row r="76" hidden="1"/>
  </sheetData>
  <mergeCells count="42">
    <mergeCell ref="F37:I37"/>
    <mergeCell ref="F38:G38"/>
    <mergeCell ref="H38:I38"/>
    <mergeCell ref="J38:K38"/>
    <mergeCell ref="L38:M38"/>
    <mergeCell ref="J37:M37"/>
    <mergeCell ref="F22:I22"/>
    <mergeCell ref="F23:G23"/>
    <mergeCell ref="H23:I23"/>
    <mergeCell ref="J22:M22"/>
    <mergeCell ref="J23:K23"/>
    <mergeCell ref="L23:M23"/>
    <mergeCell ref="A20:C20"/>
    <mergeCell ref="D20:E20"/>
    <mergeCell ref="A17:E17"/>
    <mergeCell ref="A18:C18"/>
    <mergeCell ref="D18:E18"/>
    <mergeCell ref="A19:C19"/>
    <mergeCell ref="D19:E19"/>
    <mergeCell ref="B7:E8"/>
    <mergeCell ref="F8:G8"/>
    <mergeCell ref="H8:I8"/>
    <mergeCell ref="J8:K8"/>
    <mergeCell ref="L8:M8"/>
    <mergeCell ref="F7:I7"/>
    <mergeCell ref="J7:M7"/>
    <mergeCell ref="A35:C35"/>
    <mergeCell ref="D35:E35"/>
    <mergeCell ref="B22:E23"/>
    <mergeCell ref="A32:E32"/>
    <mergeCell ref="A33:C33"/>
    <mergeCell ref="D33:E33"/>
    <mergeCell ref="A34:C34"/>
    <mergeCell ref="D34:E34"/>
    <mergeCell ref="A51:C51"/>
    <mergeCell ref="D51:E51"/>
    <mergeCell ref="B37:E38"/>
    <mergeCell ref="A48:E48"/>
    <mergeCell ref="A49:C49"/>
    <mergeCell ref="D49:E49"/>
    <mergeCell ref="A50:C50"/>
    <mergeCell ref="D50:E50"/>
  </mergeCells>
  <hyperlinks>
    <hyperlink ref="M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&amp;C21&amp;R&amp;K00-046Banco Volkswagen S.A.
Rua Volkswagen, nº 291
São Paulo - SP - Brazil
Tel: +55 11 5582 5591
TESOU-ABS@vwfs.com</oddFooter>
  </headerFooter>
  <ignoredErrors>
    <ignoredError sqref="E46 C46 J46 K46:M46 E41:E44 C41:C44 M15 L30:M30 C40:E40" calculatedColumn="1"/>
  </ignoredErrors>
  <drawing r:id="rId2"/>
  <tableParts count="6">
    <tablePart r:id="rId3"/>
    <tablePart r:id="rId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499984740745262"/>
    <pageSetUpPr fitToPage="1"/>
  </sheetPr>
  <dimension ref="A1:O47"/>
  <sheetViews>
    <sheetView showGridLines="0" zoomScale="85" zoomScaleNormal="85" workbookViewId="0">
      <selection activeCell="L30" sqref="L30"/>
    </sheetView>
  </sheetViews>
  <sheetFormatPr defaultColWidth="0" defaultRowHeight="12.75" zeroHeight="1"/>
  <cols>
    <col min="1" max="1" width="0.28515625" customWidth="1"/>
    <col min="2" max="2" width="20.7109375" customWidth="1"/>
    <col min="3" max="3" width="14.7109375" customWidth="1"/>
    <col min="4" max="4" width="12.7109375" customWidth="1"/>
    <col min="5" max="5" width="21.7109375" customWidth="1"/>
    <col min="6" max="6" width="14.7109375" customWidth="1"/>
    <col min="7" max="7" width="12.7109375" customWidth="1"/>
    <col min="8" max="8" width="21.7109375" customWidth="1"/>
    <col min="9" max="9" width="12.7109375" customWidth="1"/>
    <col min="10" max="10" width="21.7109375" customWidth="1"/>
    <col min="11" max="11" width="12.7109375" customWidth="1"/>
    <col min="12" max="12" width="21.7109375" customWidth="1"/>
    <col min="13" max="13" width="12.7109375" customWidth="1"/>
    <col min="14" max="14" width="21.7109375" customWidth="1"/>
    <col min="15" max="15" width="0.28515625" customWidth="1"/>
    <col min="16" max="16384" width="21.85546875" hidden="1"/>
  </cols>
  <sheetData>
    <row r="1" spans="2:14" ht="14.25" customHeight="1">
      <c r="B1" s="224"/>
      <c r="C1" s="224"/>
      <c r="D1" s="224"/>
      <c r="E1" s="224"/>
      <c r="F1" s="224"/>
      <c r="G1" s="224"/>
      <c r="H1" s="224"/>
      <c r="I1" s="224"/>
      <c r="J1" s="224"/>
      <c r="K1" s="224"/>
      <c r="L1" s="224"/>
      <c r="M1" s="224"/>
      <c r="N1" s="226" t="str">
        <f>CONCATENATE("Publication Date: ",TEXT(Input!C7,"DD.MM.AAAA"))</f>
        <v>Publication Date: 05.03.2020</v>
      </c>
    </row>
    <row r="2" spans="2:14" ht="14.25" customHeight="1">
      <c r="B2" s="224"/>
      <c r="C2" s="224"/>
      <c r="D2" s="224"/>
      <c r="E2" s="224"/>
      <c r="F2" s="224"/>
      <c r="G2" s="224"/>
      <c r="H2" s="224"/>
      <c r="I2" s="224"/>
      <c r="J2" s="224"/>
      <c r="K2" s="224"/>
      <c r="L2" s="224"/>
      <c r="M2" s="224"/>
      <c r="N2" s="134" t="str">
        <f>CONCATENATE("Period: ",TEXT(Input!$C$5,"MM.AAAA")," / Period No. ",Input!$C$6)</f>
        <v>Period: 02.2020 / Period No. 9</v>
      </c>
    </row>
    <row r="3" spans="2:14" ht="14.25" customHeight="1">
      <c r="B3" s="224"/>
      <c r="C3" s="224"/>
      <c r="D3" s="224"/>
      <c r="E3" s="224"/>
      <c r="F3" s="224"/>
      <c r="G3" s="224"/>
      <c r="H3" s="224"/>
      <c r="I3" s="224"/>
      <c r="J3" s="224"/>
      <c r="K3" s="224"/>
      <c r="L3" s="224"/>
      <c r="M3" s="224"/>
      <c r="N3" s="383" t="s">
        <v>236</v>
      </c>
    </row>
    <row r="4" spans="2:14"/>
    <row r="5" spans="2:14" ht="15.75" customHeight="1">
      <c r="B5" s="118" t="s">
        <v>195</v>
      </c>
    </row>
    <row r="6" spans="2:14"/>
    <row r="7" spans="2:14">
      <c r="C7" s="798" t="s">
        <v>182</v>
      </c>
      <c r="D7" s="799"/>
      <c r="E7" s="799"/>
      <c r="F7" s="799"/>
      <c r="G7" s="854" t="s">
        <v>142</v>
      </c>
      <c r="H7" s="854"/>
      <c r="I7" s="854"/>
      <c r="J7" s="854"/>
      <c r="K7" s="854" t="s">
        <v>62</v>
      </c>
      <c r="L7" s="854"/>
      <c r="M7" s="854"/>
      <c r="N7" s="854"/>
    </row>
    <row r="8" spans="2:14">
      <c r="C8" s="835"/>
      <c r="D8" s="836"/>
      <c r="E8" s="836"/>
      <c r="F8" s="836"/>
      <c r="G8" s="839" t="s">
        <v>170</v>
      </c>
      <c r="H8" s="840"/>
      <c r="I8" s="839" t="s">
        <v>171</v>
      </c>
      <c r="J8" s="840"/>
      <c r="K8" s="839" t="s">
        <v>172</v>
      </c>
      <c r="L8" s="840"/>
      <c r="M8" s="839" t="s">
        <v>173</v>
      </c>
      <c r="N8" s="840"/>
    </row>
    <row r="9" spans="2:14" ht="51">
      <c r="B9" s="285" t="s">
        <v>198</v>
      </c>
      <c r="C9" s="308" t="s">
        <v>41</v>
      </c>
      <c r="D9" s="308" t="s">
        <v>169</v>
      </c>
      <c r="E9" s="308" t="s">
        <v>276</v>
      </c>
      <c r="F9" s="353" t="s">
        <v>379</v>
      </c>
      <c r="G9" s="395" t="s">
        <v>255</v>
      </c>
      <c r="H9" s="395" t="s">
        <v>479</v>
      </c>
      <c r="I9" s="395" t="s">
        <v>256</v>
      </c>
      <c r="J9" s="395" t="s">
        <v>484</v>
      </c>
      <c r="K9" s="395" t="s">
        <v>258</v>
      </c>
      <c r="L9" s="395" t="s">
        <v>485</v>
      </c>
      <c r="M9" s="395" t="s">
        <v>259</v>
      </c>
      <c r="N9" s="395" t="s">
        <v>486</v>
      </c>
    </row>
    <row r="10" spans="2:14">
      <c r="B10" s="286" t="s">
        <v>391</v>
      </c>
      <c r="C10" s="364">
        <f>+'Pool Data V'!C47</f>
        <v>351</v>
      </c>
      <c r="D10" s="363">
        <f>+Tabelle57[[#This Row],[Number of Contracts]]/$C$14</f>
        <v>9.3755008280356853E-3</v>
      </c>
      <c r="E10" s="538">
        <f>+'Pool Data V'!E47</f>
        <v>6609286.9299999997</v>
      </c>
      <c r="F10" s="362">
        <f>+Tabelle57[[#This Row],[Outstanding Discounted Principal Balance]]/$E$14</f>
        <v>9.8831625951970679E-3</v>
      </c>
      <c r="G10" s="405">
        <f>+'Pool Data V'!G47</f>
        <v>313</v>
      </c>
      <c r="H10" s="517">
        <f>+'Pool Data V'!H47</f>
        <v>5800272.3700000001</v>
      </c>
      <c r="I10" s="405">
        <f>+'Pool Data V'!I47</f>
        <v>38</v>
      </c>
      <c r="J10" s="517">
        <f>+'Pool Data V'!J47</f>
        <v>809014.55999999994</v>
      </c>
      <c r="K10" s="405">
        <f>+'Pool Data V'!K47</f>
        <v>291</v>
      </c>
      <c r="L10" s="517">
        <f>+'Pool Data V'!L47</f>
        <v>5458651.8600000003</v>
      </c>
      <c r="M10" s="405">
        <f>+'Pool Data V'!M47</f>
        <v>60</v>
      </c>
      <c r="N10" s="517">
        <f>+'Pool Data V'!N47</f>
        <v>1150635.0699999998</v>
      </c>
    </row>
    <row r="11" spans="2:14">
      <c r="B11" s="286" t="s">
        <v>393</v>
      </c>
      <c r="C11" s="364"/>
      <c r="D11" s="363"/>
      <c r="E11" s="538"/>
      <c r="F11" s="362"/>
      <c r="G11" s="405"/>
      <c r="H11" s="517"/>
      <c r="I11" s="405"/>
      <c r="J11" s="517"/>
      <c r="K11" s="405"/>
      <c r="L11" s="517"/>
      <c r="M11" s="405"/>
      <c r="N11" s="517"/>
    </row>
    <row r="12" spans="2:14">
      <c r="B12" s="246" t="s">
        <v>392</v>
      </c>
      <c r="C12" s="364">
        <f>+'Pool Data V'!C34</f>
        <v>32085</v>
      </c>
      <c r="D12" s="363">
        <f>+Tabelle57[[#This Row],[Number of Contracts]]/$C$14</f>
        <v>0.85701693466531337</v>
      </c>
      <c r="E12" s="538">
        <f>+'Pool Data V'!E34</f>
        <v>565251849.60000002</v>
      </c>
      <c r="F12" s="362">
        <f>+Tabelle57[[#This Row],[Outstanding Discounted Principal Balance]]/$E$14</f>
        <v>0.84524639284085057</v>
      </c>
      <c r="G12" s="405">
        <f>+'Pool Data V'!G34</f>
        <v>28060</v>
      </c>
      <c r="H12" s="517">
        <f>+'Pool Data V'!H34</f>
        <v>495578889.51999998</v>
      </c>
      <c r="I12" s="405">
        <f>+'Pool Data V'!I34</f>
        <v>4025</v>
      </c>
      <c r="J12" s="517">
        <f>+'Pool Data V'!J34</f>
        <v>69672960.079999998</v>
      </c>
      <c r="K12" s="405">
        <f>+'Pool Data V'!K34</f>
        <v>28574</v>
      </c>
      <c r="L12" s="517">
        <f>+'Pool Data V'!L34</f>
        <v>499693057.58999991</v>
      </c>
      <c r="M12" s="405">
        <f>+'Pool Data V'!M34</f>
        <v>3511</v>
      </c>
      <c r="N12" s="517">
        <f>+'Pool Data V'!N34</f>
        <v>65558792.00999999</v>
      </c>
    </row>
    <row r="13" spans="2:14">
      <c r="B13" s="246" t="s">
        <v>394</v>
      </c>
      <c r="C13" s="364">
        <f>+'Pool Data V'!C49</f>
        <v>5002</v>
      </c>
      <c r="D13" s="363">
        <f>+Tabelle57[[#This Row],[Number of Contracts]]/$C$14</f>
        <v>0.13360756450665098</v>
      </c>
      <c r="E13" s="538">
        <f>+'Pool Data V'!E49</f>
        <v>96880965.64000003</v>
      </c>
      <c r="F13" s="362">
        <f>+Tabelle57[[#This Row],[Outstanding Discounted Principal Balance]]/$E$14</f>
        <v>0.14487044456395248</v>
      </c>
      <c r="G13" s="405">
        <f>+'Pool Data V'!G49</f>
        <v>110</v>
      </c>
      <c r="H13" s="517">
        <f>+'Pool Data V'!H49</f>
        <v>3203781.39</v>
      </c>
      <c r="I13" s="405">
        <f>+'Pool Data V'!I49</f>
        <v>4892</v>
      </c>
      <c r="J13" s="517">
        <f>+'Pool Data V'!J49</f>
        <v>93677184.25000003</v>
      </c>
      <c r="K13" s="405">
        <f>+'Pool Data V'!K49</f>
        <v>4935</v>
      </c>
      <c r="L13" s="517">
        <f>+'Pool Data V'!L49</f>
        <v>95362702.180000022</v>
      </c>
      <c r="M13" s="405">
        <f>+'Pool Data V'!M49</f>
        <v>67</v>
      </c>
      <c r="N13" s="517">
        <f>+'Pool Data V'!N49</f>
        <v>1518263.4600000002</v>
      </c>
    </row>
    <row r="14" spans="2:14">
      <c r="B14" s="318" t="s">
        <v>42</v>
      </c>
      <c r="C14" s="314">
        <f>SUM(C10:C13)</f>
        <v>37438</v>
      </c>
      <c r="D14" s="367">
        <f t="shared" ref="D14" si="0">SUM(D10:D13)</f>
        <v>1</v>
      </c>
      <c r="E14" s="529">
        <f>SUM(E10:E13)</f>
        <v>668742102.16999996</v>
      </c>
      <c r="F14" s="366">
        <f t="shared" ref="F14" si="1">SUM(F10:F13)</f>
        <v>1</v>
      </c>
      <c r="G14" s="406">
        <f>SUM(G10:G13)</f>
        <v>28483</v>
      </c>
      <c r="H14" s="518">
        <f t="shared" ref="H14" si="2">SUM(H10:H13)</f>
        <v>504582943.27999997</v>
      </c>
      <c r="I14" s="406">
        <f t="shared" ref="I14" si="3">SUM(I10:I13)</f>
        <v>8955</v>
      </c>
      <c r="J14" s="518">
        <f t="shared" ref="J14" si="4">SUM(J10:J13)</f>
        <v>164159158.89000005</v>
      </c>
      <c r="K14" s="520">
        <f t="shared" ref="K14" si="5">SUM(K10:K13)</f>
        <v>33800</v>
      </c>
      <c r="L14" s="518">
        <f t="shared" ref="L14" si="6">SUM(L10:L13)</f>
        <v>600514411.63</v>
      </c>
      <c r="M14" s="539">
        <f t="shared" ref="M14" si="7">SUM(M10:M13)</f>
        <v>3638</v>
      </c>
      <c r="N14" s="518">
        <f t="shared" ref="N14" si="8">SUM(N10:N13)</f>
        <v>68227690.539999992</v>
      </c>
    </row>
    <row r="15" spans="2:14">
      <c r="B15" s="37"/>
    </row>
    <row r="16" spans="2:14">
      <c r="C16" s="798" t="s">
        <v>182</v>
      </c>
      <c r="D16" s="799"/>
      <c r="E16" s="799"/>
      <c r="F16" s="799"/>
      <c r="G16" s="854" t="s">
        <v>142</v>
      </c>
      <c r="H16" s="854"/>
      <c r="I16" s="854"/>
      <c r="J16" s="854"/>
      <c r="K16" s="854" t="s">
        <v>62</v>
      </c>
      <c r="L16" s="854"/>
      <c r="M16" s="854"/>
      <c r="N16" s="854"/>
    </row>
    <row r="17" spans="2:14">
      <c r="C17" s="835"/>
      <c r="D17" s="836"/>
      <c r="E17" s="836"/>
      <c r="F17" s="836"/>
      <c r="G17" s="839" t="s">
        <v>170</v>
      </c>
      <c r="H17" s="840"/>
      <c r="I17" s="839" t="s">
        <v>171</v>
      </c>
      <c r="J17" s="840"/>
      <c r="K17" s="839" t="s">
        <v>172</v>
      </c>
      <c r="L17" s="840"/>
      <c r="M17" s="839" t="s">
        <v>173</v>
      </c>
      <c r="N17" s="840"/>
    </row>
    <row r="18" spans="2:14" ht="51">
      <c r="B18" s="317" t="s">
        <v>197</v>
      </c>
      <c r="C18" s="308" t="s">
        <v>41</v>
      </c>
      <c r="D18" s="308" t="s">
        <v>169</v>
      </c>
      <c r="E18" s="308" t="s">
        <v>276</v>
      </c>
      <c r="F18" s="353" t="s">
        <v>379</v>
      </c>
      <c r="G18" s="395" t="s">
        <v>255</v>
      </c>
      <c r="H18" s="395" t="s">
        <v>479</v>
      </c>
      <c r="I18" s="395" t="s">
        <v>256</v>
      </c>
      <c r="J18" s="395" t="s">
        <v>484</v>
      </c>
      <c r="K18" s="395" t="s">
        <v>258</v>
      </c>
      <c r="L18" s="395" t="s">
        <v>485</v>
      </c>
      <c r="M18" s="395" t="s">
        <v>259</v>
      </c>
      <c r="N18" s="395" t="s">
        <v>486</v>
      </c>
    </row>
    <row r="19" spans="2:14">
      <c r="B19" s="45" t="s">
        <v>396</v>
      </c>
      <c r="C19" s="288">
        <f>+Tabelle73[[#This Row],[Number of Contracts2]]+Tabelle73[[#This Row],[Number of Contracts4]]</f>
        <v>161</v>
      </c>
      <c r="D19" s="310">
        <f>Tabelle56[[#This Row],[Number of Contracts]]/$C$46</f>
        <v>4.3004433997542602E-3</v>
      </c>
      <c r="E19" s="482">
        <f>+Tabelle73[[#This Row],[Outstanding Discounted Principal Balance3]]+Tabelle73[[#This Row],[Outstanding Discounted Principal Balance6]]</f>
        <v>3449467.0300000003</v>
      </c>
      <c r="F19" s="310">
        <f>Tabelle56[[#This Row],[Outstanding Discounted Principal Balance]]/$E$46</f>
        <v>5.1581424570201736E-3</v>
      </c>
      <c r="G19" s="396">
        <v>126</v>
      </c>
      <c r="H19" s="480">
        <v>2633442.79</v>
      </c>
      <c r="I19" s="396">
        <v>35</v>
      </c>
      <c r="J19" s="480">
        <v>816024.24</v>
      </c>
      <c r="K19" s="519">
        <v>137</v>
      </c>
      <c r="L19" s="614">
        <v>3092574.75</v>
      </c>
      <c r="M19" s="519">
        <v>24</v>
      </c>
      <c r="N19" s="614">
        <v>356892.28</v>
      </c>
    </row>
    <row r="20" spans="2:14">
      <c r="B20" s="45" t="s">
        <v>397</v>
      </c>
      <c r="C20" s="288">
        <f>+Tabelle73[[#This Row],[Number of Contracts2]]+Tabelle73[[#This Row],[Number of Contracts4]]</f>
        <v>529</v>
      </c>
      <c r="D20" s="310">
        <f>Tabelle56[[#This Row],[Number of Contracts]]/$C$46</f>
        <v>1.4130028313478284E-2</v>
      </c>
      <c r="E20" s="482">
        <f>+Tabelle73[[#This Row],[Outstanding Discounted Principal Balance3]]+Tabelle73[[#This Row],[Outstanding Discounted Principal Balance6]]</f>
        <v>8877969.040000001</v>
      </c>
      <c r="F20" s="310">
        <f>Tabelle56[[#This Row],[Outstanding Discounted Principal Balance]]/$E$46</f>
        <v>1.3275624506355881E-2</v>
      </c>
      <c r="G20" s="396">
        <v>447</v>
      </c>
      <c r="H20" s="480">
        <v>7609170.9400000004</v>
      </c>
      <c r="I20" s="396">
        <v>82</v>
      </c>
      <c r="J20" s="480">
        <v>1268798.0999999999</v>
      </c>
      <c r="K20" s="519">
        <v>478</v>
      </c>
      <c r="L20" s="614">
        <v>8264043.2800000003</v>
      </c>
      <c r="M20" s="519">
        <v>51</v>
      </c>
      <c r="N20" s="614">
        <v>613925.76</v>
      </c>
    </row>
    <row r="21" spans="2:14">
      <c r="B21" s="45" t="s">
        <v>398</v>
      </c>
      <c r="C21" s="288">
        <f>+Tabelle73[[#This Row],[Number of Contracts2]]+Tabelle73[[#This Row],[Number of Contracts4]]</f>
        <v>335</v>
      </c>
      <c r="D21" s="310">
        <f>Tabelle56[[#This Row],[Number of Contracts]]/$C$46</f>
        <v>8.9481275709172494E-3</v>
      </c>
      <c r="E21" s="482">
        <f>+Tabelle73[[#This Row],[Outstanding Discounted Principal Balance3]]+Tabelle73[[#This Row],[Outstanding Discounted Principal Balance6]]</f>
        <v>6880060.0899999999</v>
      </c>
      <c r="F21" s="310">
        <f>Tabelle56[[#This Row],[Outstanding Discounted Principal Balance]]/$E$46</f>
        <v>1.0288061821851659E-2</v>
      </c>
      <c r="G21" s="396">
        <v>267</v>
      </c>
      <c r="H21" s="480">
        <v>5399730.6500000004</v>
      </c>
      <c r="I21" s="396">
        <v>68</v>
      </c>
      <c r="J21" s="480">
        <v>1480329.44</v>
      </c>
      <c r="K21" s="519">
        <v>249</v>
      </c>
      <c r="L21" s="614">
        <v>5370888.2699999996</v>
      </c>
      <c r="M21" s="519">
        <v>86</v>
      </c>
      <c r="N21" s="614">
        <v>1509171.82</v>
      </c>
    </row>
    <row r="22" spans="2:14">
      <c r="B22" s="45" t="s">
        <v>399</v>
      </c>
      <c r="C22" s="288">
        <f>+Tabelle73[[#This Row],[Number of Contracts2]]+Tabelle73[[#This Row],[Number of Contracts4]]</f>
        <v>172</v>
      </c>
      <c r="D22" s="310">
        <f>Tabelle56[[#This Row],[Number of Contracts]]/$C$46</f>
        <v>4.5942625140231851E-3</v>
      </c>
      <c r="E22" s="482">
        <f>+Tabelle73[[#This Row],[Outstanding Discounted Principal Balance3]]+Tabelle73[[#This Row],[Outstanding Discounted Principal Balance6]]</f>
        <v>4402000.1099999994</v>
      </c>
      <c r="F22" s="310">
        <f>Tabelle56[[#This Row],[Outstanding Discounted Principal Balance]]/$E$46</f>
        <v>6.582507809387142E-3</v>
      </c>
      <c r="G22" s="396">
        <v>169</v>
      </c>
      <c r="H22" s="480">
        <v>4324640.0199999996</v>
      </c>
      <c r="I22" s="396">
        <v>3</v>
      </c>
      <c r="J22" s="480">
        <v>77360.09</v>
      </c>
      <c r="K22" s="519">
        <v>153</v>
      </c>
      <c r="L22" s="614">
        <v>3998479.7</v>
      </c>
      <c r="M22" s="519">
        <v>19</v>
      </c>
      <c r="N22" s="614">
        <v>403520.41</v>
      </c>
    </row>
    <row r="23" spans="2:14">
      <c r="B23" s="45" t="s">
        <v>400</v>
      </c>
      <c r="C23" s="288">
        <f>+Tabelle73[[#This Row],[Number of Contracts2]]+Tabelle73[[#This Row],[Number of Contracts4]]</f>
        <v>1229</v>
      </c>
      <c r="D23" s="310">
        <f>Tabelle56[[#This Row],[Number of Contracts]]/$C$46</f>
        <v>3.2827608312409849E-2</v>
      </c>
      <c r="E23" s="482">
        <f>+Tabelle73[[#This Row],[Outstanding Discounted Principal Balance3]]+Tabelle73[[#This Row],[Outstanding Discounted Principal Balance6]]</f>
        <v>21120106.689999998</v>
      </c>
      <c r="F23" s="310">
        <f>Tabelle56[[#This Row],[Outstanding Discounted Principal Balance]]/$E$46</f>
        <v>3.1581840924128149E-2</v>
      </c>
      <c r="G23" s="396">
        <v>1014</v>
      </c>
      <c r="H23" s="480">
        <v>17047951.77</v>
      </c>
      <c r="I23" s="396">
        <v>215</v>
      </c>
      <c r="J23" s="480">
        <v>4072154.92</v>
      </c>
      <c r="K23" s="519">
        <v>1071</v>
      </c>
      <c r="L23" s="614">
        <v>18486072.329999998</v>
      </c>
      <c r="M23" s="519">
        <v>158</v>
      </c>
      <c r="N23" s="614">
        <v>2634034.36</v>
      </c>
    </row>
    <row r="24" spans="2:14">
      <c r="B24" s="45" t="s">
        <v>401</v>
      </c>
      <c r="C24" s="288">
        <f>+Tabelle73[[#This Row],[Number of Contracts2]]+Tabelle73[[#This Row],[Number of Contracts4]]</f>
        <v>990</v>
      </c>
      <c r="D24" s="310">
        <f>Tabelle56[[#This Row],[Number of Contracts]]/$C$46</f>
        <v>2.6443720284203217E-2</v>
      </c>
      <c r="E24" s="482">
        <f>+Tabelle73[[#This Row],[Outstanding Discounted Principal Balance3]]+Tabelle73[[#This Row],[Outstanding Discounted Principal Balance6]]</f>
        <v>17879289.260000002</v>
      </c>
      <c r="F24" s="310">
        <f>Tabelle56[[#This Row],[Outstanding Discounted Principal Balance]]/$E$46</f>
        <v>2.673570155368344E-2</v>
      </c>
      <c r="G24" s="396">
        <v>692</v>
      </c>
      <c r="H24" s="480">
        <v>12313585.23</v>
      </c>
      <c r="I24" s="396">
        <v>298</v>
      </c>
      <c r="J24" s="480">
        <v>5565704.0300000003</v>
      </c>
      <c r="K24" s="519">
        <v>916</v>
      </c>
      <c r="L24" s="614">
        <v>16691898.300000001</v>
      </c>
      <c r="M24" s="519">
        <v>74</v>
      </c>
      <c r="N24" s="614">
        <v>1187390.96</v>
      </c>
    </row>
    <row r="25" spans="2:14">
      <c r="B25" s="45" t="s">
        <v>402</v>
      </c>
      <c r="C25" s="288">
        <f>+Tabelle73[[#This Row],[Number of Contracts2]]+Tabelle73[[#This Row],[Number of Contracts4]]</f>
        <v>960</v>
      </c>
      <c r="D25" s="310">
        <f>Tabelle56[[#This Row],[Number of Contracts]]/$C$46</f>
        <v>2.5642395427106147E-2</v>
      </c>
      <c r="E25" s="482">
        <f>+Tabelle73[[#This Row],[Outstanding Discounted Principal Balance3]]+Tabelle73[[#This Row],[Outstanding Discounted Principal Balance6]]</f>
        <v>16535584.68</v>
      </c>
      <c r="F25" s="310">
        <f>Tabelle56[[#This Row],[Outstanding Discounted Principal Balance]]/$E$46</f>
        <v>2.4726399947518945E-2</v>
      </c>
      <c r="G25" s="396">
        <v>879</v>
      </c>
      <c r="H25" s="480">
        <v>15038244.619999999</v>
      </c>
      <c r="I25" s="396">
        <v>81</v>
      </c>
      <c r="J25" s="480">
        <v>1497340.06</v>
      </c>
      <c r="K25" s="519">
        <v>933</v>
      </c>
      <c r="L25" s="614">
        <v>16044947.189999999</v>
      </c>
      <c r="M25" s="519">
        <v>27</v>
      </c>
      <c r="N25" s="614">
        <v>490637.49</v>
      </c>
    </row>
    <row r="26" spans="2:14">
      <c r="B26" s="45" t="s">
        <v>403</v>
      </c>
      <c r="C26" s="288">
        <f>+Tabelle73[[#This Row],[Number of Contracts2]]+Tabelle73[[#This Row],[Number of Contracts4]]</f>
        <v>483</v>
      </c>
      <c r="D26" s="310">
        <f>Tabelle56[[#This Row],[Number of Contracts]]/$C$46</f>
        <v>1.2901330199262781E-2</v>
      </c>
      <c r="E26" s="482">
        <f>+Tabelle73[[#This Row],[Outstanding Discounted Principal Balance3]]+Tabelle73[[#This Row],[Outstanding Discounted Principal Balance6]]</f>
        <v>8594385.9000000004</v>
      </c>
      <c r="F26" s="310">
        <f>Tabelle56[[#This Row],[Outstanding Discounted Principal Balance]]/$E$46</f>
        <v>1.2851569943199467E-2</v>
      </c>
      <c r="G26" s="396">
        <v>356</v>
      </c>
      <c r="H26" s="480">
        <v>6267602.7300000004</v>
      </c>
      <c r="I26" s="396">
        <v>127</v>
      </c>
      <c r="J26" s="480">
        <v>2326783.17</v>
      </c>
      <c r="K26" s="519">
        <v>437</v>
      </c>
      <c r="L26" s="614">
        <v>7820145.2199999997</v>
      </c>
      <c r="M26" s="519">
        <v>46</v>
      </c>
      <c r="N26" s="614">
        <v>774240.68</v>
      </c>
    </row>
    <row r="27" spans="2:14">
      <c r="B27" s="45" t="s">
        <v>404</v>
      </c>
      <c r="C27" s="288">
        <f>+Tabelle73[[#This Row],[Number of Contracts2]]+Tabelle73[[#This Row],[Number of Contracts4]]</f>
        <v>1677</v>
      </c>
      <c r="D27" s="310">
        <f>Tabelle56[[#This Row],[Number of Contracts]]/$C$46</f>
        <v>4.4794059511726055E-2</v>
      </c>
      <c r="E27" s="482">
        <f>+Tabelle73[[#This Row],[Outstanding Discounted Principal Balance3]]+Tabelle73[[#This Row],[Outstanding Discounted Principal Balance6]]</f>
        <v>31662985.649999999</v>
      </c>
      <c r="F27" s="310">
        <f>Tabelle56[[#This Row],[Outstanding Discounted Principal Balance]]/$E$46</f>
        <v>4.7347079759531861E-2</v>
      </c>
      <c r="G27" s="396">
        <v>1224</v>
      </c>
      <c r="H27" s="480">
        <v>23470775.5</v>
      </c>
      <c r="I27" s="396">
        <v>453</v>
      </c>
      <c r="J27" s="480">
        <v>8192210.1499999994</v>
      </c>
      <c r="K27" s="519">
        <v>1531</v>
      </c>
      <c r="L27" s="614">
        <v>28934358.350000001</v>
      </c>
      <c r="M27" s="519">
        <v>146</v>
      </c>
      <c r="N27" s="614">
        <v>2728627.3</v>
      </c>
    </row>
    <row r="28" spans="2:14">
      <c r="B28" s="45" t="s">
        <v>405</v>
      </c>
      <c r="C28" s="288">
        <f>+Tabelle73[[#This Row],[Number of Contracts2]]+Tabelle73[[#This Row],[Number of Contracts4]]</f>
        <v>503</v>
      </c>
      <c r="D28" s="310">
        <f>Tabelle56[[#This Row],[Number of Contracts]]/$C$46</f>
        <v>1.3435546770660826E-2</v>
      </c>
      <c r="E28" s="482">
        <f>+Tabelle73[[#This Row],[Outstanding Discounted Principal Balance3]]+Tabelle73[[#This Row],[Outstanding Discounted Principal Balance6]]</f>
        <v>9252430.4299999997</v>
      </c>
      <c r="F28" s="310">
        <f>Tabelle56[[#This Row],[Outstanding Discounted Principal Balance]]/$E$46</f>
        <v>1.3835573384682682E-2</v>
      </c>
      <c r="G28" s="396">
        <v>447</v>
      </c>
      <c r="H28" s="480">
        <v>8112910.6900000004</v>
      </c>
      <c r="I28" s="396">
        <v>56</v>
      </c>
      <c r="J28" s="480">
        <v>1139519.74</v>
      </c>
      <c r="K28" s="519">
        <v>476</v>
      </c>
      <c r="L28" s="614">
        <v>8778585.1400000006</v>
      </c>
      <c r="M28" s="519">
        <v>27</v>
      </c>
      <c r="N28" s="614">
        <v>473845.29</v>
      </c>
    </row>
    <row r="29" spans="2:14">
      <c r="B29" s="45" t="s">
        <v>406</v>
      </c>
      <c r="C29" s="288">
        <f>+Tabelle73[[#This Row],[Number of Contracts2]]+Tabelle73[[#This Row],[Number of Contracts4]]</f>
        <v>2859</v>
      </c>
      <c r="D29" s="310">
        <f>Tabelle56[[#This Row],[Number of Contracts]]/$C$46</f>
        <v>7.6366258881350499E-2</v>
      </c>
      <c r="E29" s="482">
        <f>+Tabelle73[[#This Row],[Outstanding Discounted Principal Balance3]]+Tabelle73[[#This Row],[Outstanding Discounted Principal Balance6]]</f>
        <v>46695020.630000003</v>
      </c>
      <c r="F29" s="310">
        <f>Tabelle56[[#This Row],[Outstanding Discounted Principal Balance]]/$E$46</f>
        <v>6.9825154537869555E-2</v>
      </c>
      <c r="G29" s="396">
        <v>2180</v>
      </c>
      <c r="H29" s="480">
        <v>36024176.670000002</v>
      </c>
      <c r="I29" s="396">
        <v>679</v>
      </c>
      <c r="J29" s="480">
        <v>10670843.960000001</v>
      </c>
      <c r="K29" s="519">
        <v>2524</v>
      </c>
      <c r="L29" s="614">
        <v>40446717.100000001</v>
      </c>
      <c r="M29" s="519">
        <v>335</v>
      </c>
      <c r="N29" s="614">
        <v>6248303.5300000003</v>
      </c>
    </row>
    <row r="30" spans="2:14">
      <c r="B30" s="45" t="s">
        <v>407</v>
      </c>
      <c r="C30" s="288">
        <f>+Tabelle73[[#This Row],[Number of Contracts2]]+Tabelle73[[#This Row],[Number of Contracts4]]</f>
        <v>1007</v>
      </c>
      <c r="D30" s="310">
        <f>Tabelle56[[#This Row],[Number of Contracts]]/$C$46</f>
        <v>2.6897804369891556E-2</v>
      </c>
      <c r="E30" s="482">
        <f>+Tabelle73[[#This Row],[Outstanding Discounted Principal Balance3]]+Tabelle73[[#This Row],[Outstanding Discounted Principal Balance6]]</f>
        <v>21029561.210000001</v>
      </c>
      <c r="F30" s="310">
        <f>Tabelle56[[#This Row],[Outstanding Discounted Principal Balance]]/$E$46</f>
        <v>3.1446444214834411E-2</v>
      </c>
      <c r="G30" s="396">
        <v>778</v>
      </c>
      <c r="H30" s="480">
        <v>16110800.060000001</v>
      </c>
      <c r="I30" s="396">
        <v>229</v>
      </c>
      <c r="J30" s="480">
        <v>4918761.1500000004</v>
      </c>
      <c r="K30" s="519">
        <v>933</v>
      </c>
      <c r="L30" s="614">
        <v>19315382.949999999</v>
      </c>
      <c r="M30" s="519">
        <v>74</v>
      </c>
      <c r="N30" s="614">
        <v>1714178.26</v>
      </c>
    </row>
    <row r="31" spans="2:14">
      <c r="B31" s="45" t="s">
        <v>408</v>
      </c>
      <c r="C31" s="288">
        <f>+Tabelle73[[#This Row],[Number of Contracts2]]+Tabelle73[[#This Row],[Number of Contracts4]]</f>
        <v>824</v>
      </c>
      <c r="D31" s="310">
        <f>Tabelle56[[#This Row],[Number of Contracts]]/$C$46</f>
        <v>2.2009722741599444E-2</v>
      </c>
      <c r="E31" s="482">
        <f>+Tabelle73[[#This Row],[Outstanding Discounted Principal Balance3]]+Tabelle73[[#This Row],[Outstanding Discounted Principal Balance6]]</f>
        <v>18959593.310000002</v>
      </c>
      <c r="F31" s="310">
        <f>Tabelle56[[#This Row],[Outstanding Discounted Principal Balance]]/$E$46</f>
        <v>2.8351128556850319E-2</v>
      </c>
      <c r="G31" s="396">
        <v>699</v>
      </c>
      <c r="H31" s="480">
        <v>15977944.33</v>
      </c>
      <c r="I31" s="396">
        <v>125</v>
      </c>
      <c r="J31" s="480">
        <v>2981648.9800000004</v>
      </c>
      <c r="K31" s="519">
        <v>721</v>
      </c>
      <c r="L31" s="614">
        <v>16589268.890000001</v>
      </c>
      <c r="M31" s="519">
        <v>103</v>
      </c>
      <c r="N31" s="614">
        <v>2370324.42</v>
      </c>
    </row>
    <row r="32" spans="2:14">
      <c r="B32" s="45" t="s">
        <v>409</v>
      </c>
      <c r="C32" s="288">
        <f>+Tabelle73[[#This Row],[Number of Contracts2]]+Tabelle73[[#This Row],[Number of Contracts4]]</f>
        <v>965</v>
      </c>
      <c r="D32" s="310">
        <f>Tabelle56[[#This Row],[Number of Contracts]]/$C$46</f>
        <v>2.5775949569955658E-2</v>
      </c>
      <c r="E32" s="482">
        <f>+Tabelle73[[#This Row],[Outstanding Discounted Principal Balance3]]+Tabelle73[[#This Row],[Outstanding Discounted Principal Balance6]]</f>
        <v>21639184.129999999</v>
      </c>
      <c r="F32" s="310">
        <f>Tabelle56[[#This Row],[Outstanding Discounted Principal Balance]]/$E$46</f>
        <v>3.2358040655408191E-2</v>
      </c>
      <c r="G32" s="396">
        <v>724</v>
      </c>
      <c r="H32" s="480">
        <v>16652018.539999999</v>
      </c>
      <c r="I32" s="396">
        <v>241</v>
      </c>
      <c r="J32" s="480">
        <v>4987165.5900000008</v>
      </c>
      <c r="K32" s="519">
        <v>909</v>
      </c>
      <c r="L32" s="614">
        <v>20528702.91</v>
      </c>
      <c r="M32" s="519">
        <v>56</v>
      </c>
      <c r="N32" s="614">
        <v>1110481.22</v>
      </c>
    </row>
    <row r="33" spans="1:14">
      <c r="B33" s="45" t="s">
        <v>410</v>
      </c>
      <c r="C33" s="288">
        <f>+Tabelle73[[#This Row],[Number of Contracts2]]+Tabelle73[[#This Row],[Number of Contracts4]]</f>
        <v>662</v>
      </c>
      <c r="D33" s="310">
        <f>Tabelle56[[#This Row],[Number of Contracts]]/$C$46</f>
        <v>1.7682568513275283E-2</v>
      </c>
      <c r="E33" s="482">
        <f>+Tabelle73[[#This Row],[Outstanding Discounted Principal Balance3]]+Tabelle73[[#This Row],[Outstanding Discounted Principal Balance6]]</f>
        <v>11663138.01</v>
      </c>
      <c r="F33" s="310">
        <f>Tabelle56[[#This Row],[Outstanding Discounted Principal Balance]]/$E$46</f>
        <v>1.7440412338559669E-2</v>
      </c>
      <c r="G33" s="396">
        <v>559</v>
      </c>
      <c r="H33" s="480">
        <v>9760648.8399999999</v>
      </c>
      <c r="I33" s="396">
        <v>103</v>
      </c>
      <c r="J33" s="480">
        <v>1902489.1700000002</v>
      </c>
      <c r="K33" s="519">
        <v>598</v>
      </c>
      <c r="L33" s="614">
        <v>10323726.92</v>
      </c>
      <c r="M33" s="519">
        <v>64</v>
      </c>
      <c r="N33" s="614">
        <v>1339411.0900000001</v>
      </c>
    </row>
    <row r="34" spans="1:14">
      <c r="B34" s="45" t="s">
        <v>411</v>
      </c>
      <c r="C34" s="288">
        <f>+Tabelle73[[#This Row],[Number of Contracts2]]+Tabelle73[[#This Row],[Number of Contracts4]]</f>
        <v>1276</v>
      </c>
      <c r="D34" s="310">
        <f>Tabelle56[[#This Row],[Number of Contracts]]/$C$46</f>
        <v>3.4083017255195254E-2</v>
      </c>
      <c r="E34" s="482">
        <f>+Tabelle73[[#This Row],[Outstanding Discounted Principal Balance3]]+Tabelle73[[#This Row],[Outstanding Discounted Principal Balance6]]</f>
        <v>21636033.639999997</v>
      </c>
      <c r="F34" s="310">
        <f>Tabelle56[[#This Row],[Outstanding Discounted Principal Balance]]/$E$46</f>
        <v>3.2353329586687109E-2</v>
      </c>
      <c r="G34" s="396">
        <v>1084</v>
      </c>
      <c r="H34" s="480">
        <v>18392114.309999999</v>
      </c>
      <c r="I34" s="396">
        <v>192</v>
      </c>
      <c r="J34" s="480">
        <v>3243919.3299999996</v>
      </c>
      <c r="K34" s="519">
        <v>1128</v>
      </c>
      <c r="L34" s="614">
        <v>19196120.559999999</v>
      </c>
      <c r="M34" s="519">
        <v>148</v>
      </c>
      <c r="N34" s="614">
        <v>2439913.08</v>
      </c>
    </row>
    <row r="35" spans="1:14">
      <c r="B35" s="45" t="s">
        <v>412</v>
      </c>
      <c r="C35" s="288">
        <f>+Tabelle73[[#This Row],[Number of Contracts2]]+Tabelle73[[#This Row],[Number of Contracts4]]</f>
        <v>520</v>
      </c>
      <c r="D35" s="310">
        <f>Tabelle56[[#This Row],[Number of Contracts]]/$C$46</f>
        <v>1.3889630856349163E-2</v>
      </c>
      <c r="E35" s="482">
        <f>+Tabelle73[[#This Row],[Outstanding Discounted Principal Balance3]]+Tabelle73[[#This Row],[Outstanding Discounted Principal Balance6]]</f>
        <v>9916961.629999999</v>
      </c>
      <c r="F35" s="310">
        <f>Tabelle56[[#This Row],[Outstanding Discounted Principal Balance]]/$E$46</f>
        <v>1.4829276634177014E-2</v>
      </c>
      <c r="G35" s="396">
        <v>435</v>
      </c>
      <c r="H35" s="480">
        <v>8356773.0199999996</v>
      </c>
      <c r="I35" s="396">
        <v>85</v>
      </c>
      <c r="J35" s="480">
        <v>1560188.61</v>
      </c>
      <c r="K35" s="519">
        <v>493</v>
      </c>
      <c r="L35" s="614">
        <v>9454360.7799999993</v>
      </c>
      <c r="M35" s="519">
        <v>27</v>
      </c>
      <c r="N35" s="614">
        <v>462600.85</v>
      </c>
    </row>
    <row r="36" spans="1:14">
      <c r="B36" s="45" t="s">
        <v>413</v>
      </c>
      <c r="C36" s="288">
        <f>+Tabelle73[[#This Row],[Number of Contracts2]]+Tabelle73[[#This Row],[Number of Contracts4]]</f>
        <v>2165</v>
      </c>
      <c r="D36" s="310">
        <f>Tabelle56[[#This Row],[Number of Contracts]]/$C$46</f>
        <v>5.7828943853838348E-2</v>
      </c>
      <c r="E36" s="482">
        <f>+Tabelle73[[#This Row],[Outstanding Discounted Principal Balance3]]+Tabelle73[[#This Row],[Outstanding Discounted Principal Balance6]]</f>
        <v>37009583.539999999</v>
      </c>
      <c r="F36" s="310">
        <f>Tabelle56[[#This Row],[Outstanding Discounted Principal Balance]]/$E$46</f>
        <v>5.5342086911991432E-2</v>
      </c>
      <c r="G36" s="396">
        <v>1711</v>
      </c>
      <c r="H36" s="480">
        <v>29088400.969999999</v>
      </c>
      <c r="I36" s="396">
        <v>454</v>
      </c>
      <c r="J36" s="480">
        <v>7921182.5699999994</v>
      </c>
      <c r="K36" s="519">
        <v>1817</v>
      </c>
      <c r="L36" s="614">
        <v>30798692.77</v>
      </c>
      <c r="M36" s="519">
        <v>348</v>
      </c>
      <c r="N36" s="614">
        <v>6210890.7699999996</v>
      </c>
    </row>
    <row r="37" spans="1:14">
      <c r="B37" s="45" t="s">
        <v>414</v>
      </c>
      <c r="C37" s="288">
        <f>+Tabelle73[[#This Row],[Number of Contracts2]]+Tabelle73[[#This Row],[Number of Contracts4]]</f>
        <v>2697</v>
      </c>
      <c r="D37" s="310">
        <f>Tabelle56[[#This Row],[Number of Contracts]]/$C$46</f>
        <v>7.2039104653026334E-2</v>
      </c>
      <c r="E37" s="482">
        <f>+Tabelle73[[#This Row],[Outstanding Discounted Principal Balance3]]+Tabelle73[[#This Row],[Outstanding Discounted Principal Balance6]]</f>
        <v>52062005.299999997</v>
      </c>
      <c r="F37" s="310">
        <f>Tabelle56[[#This Row],[Outstanding Discounted Principal Balance]]/$E$46</f>
        <v>7.785064695502808E-2</v>
      </c>
      <c r="G37" s="396">
        <v>2065</v>
      </c>
      <c r="H37" s="480">
        <v>38996849.399999999</v>
      </c>
      <c r="I37" s="396">
        <v>632</v>
      </c>
      <c r="J37" s="480">
        <v>13065155.9</v>
      </c>
      <c r="K37" s="519">
        <v>2498</v>
      </c>
      <c r="L37" s="614">
        <v>48190698</v>
      </c>
      <c r="M37" s="519">
        <v>199</v>
      </c>
      <c r="N37" s="614">
        <v>3871307.3</v>
      </c>
    </row>
    <row r="38" spans="1:14">
      <c r="B38" s="45" t="s">
        <v>415</v>
      </c>
      <c r="C38" s="288">
        <f>+Tabelle73[[#This Row],[Number of Contracts2]]+Tabelle73[[#This Row],[Number of Contracts4]]</f>
        <v>413</v>
      </c>
      <c r="D38" s="310">
        <f>Tabelle56[[#This Row],[Number of Contracts]]/$C$46</f>
        <v>1.1031572199369625E-2</v>
      </c>
      <c r="E38" s="482">
        <f>+Tabelle73[[#This Row],[Outstanding Discounted Principal Balance3]]+Tabelle73[[#This Row],[Outstanding Discounted Principal Balance6]]</f>
        <v>7415329.0600000005</v>
      </c>
      <c r="F38" s="310">
        <f>Tabelle56[[#This Row],[Outstanding Discounted Principal Balance]]/$E$46</f>
        <v>1.1088473472715434E-2</v>
      </c>
      <c r="G38" s="396">
        <v>315</v>
      </c>
      <c r="H38" s="480">
        <v>5600989.8300000001</v>
      </c>
      <c r="I38" s="396">
        <v>98</v>
      </c>
      <c r="J38" s="480">
        <v>1814339.23</v>
      </c>
      <c r="K38" s="519">
        <v>357</v>
      </c>
      <c r="L38" s="614">
        <v>6487218.9100000001</v>
      </c>
      <c r="M38" s="519">
        <v>56</v>
      </c>
      <c r="N38" s="614">
        <v>928110.15</v>
      </c>
    </row>
    <row r="39" spans="1:14">
      <c r="B39" s="45" t="s">
        <v>416</v>
      </c>
      <c r="C39" s="288">
        <f>+Tabelle73[[#This Row],[Number of Contracts2]]+Tabelle73[[#This Row],[Number of Contracts4]]</f>
        <v>308</v>
      </c>
      <c r="D39" s="310">
        <f>Tabelle56[[#This Row],[Number of Contracts]]/$C$46</f>
        <v>8.2269351995298886E-3</v>
      </c>
      <c r="E39" s="482">
        <f>+Tabelle73[[#This Row],[Outstanding Discounted Principal Balance3]]+Tabelle73[[#This Row],[Outstanding Discounted Principal Balance6]]</f>
        <v>5719083.6499999994</v>
      </c>
      <c r="F39" s="310">
        <f>Tabelle56[[#This Row],[Outstanding Discounted Principal Balance]]/$E$46</f>
        <v>8.5520017828130679E-3</v>
      </c>
      <c r="G39" s="396">
        <v>230</v>
      </c>
      <c r="H39" s="480">
        <v>4467984.22</v>
      </c>
      <c r="I39" s="396">
        <v>78</v>
      </c>
      <c r="J39" s="480">
        <v>1251099.43</v>
      </c>
      <c r="K39" s="519">
        <v>295</v>
      </c>
      <c r="L39" s="614">
        <v>5520847.4299999997</v>
      </c>
      <c r="M39" s="519">
        <v>13</v>
      </c>
      <c r="N39" s="614">
        <v>198236.22</v>
      </c>
    </row>
    <row r="40" spans="1:14">
      <c r="B40" s="45" t="s">
        <v>417</v>
      </c>
      <c r="C40" s="288">
        <f>+Tabelle73[[#This Row],[Number of Contracts2]]+Tabelle73[[#This Row],[Number of Contracts4]]</f>
        <v>73</v>
      </c>
      <c r="D40" s="310">
        <f>Tabelle56[[#This Row],[Number of Contracts]]/$C$46</f>
        <v>1.9498904856028634E-3</v>
      </c>
      <c r="E40" s="482">
        <f>+Tabelle73[[#This Row],[Outstanding Discounted Principal Balance3]]+Tabelle73[[#This Row],[Outstanding Discounted Principal Balance6]]</f>
        <v>1615649.98</v>
      </c>
      <c r="F40" s="310">
        <f>Tabelle56[[#This Row],[Outstanding Discounted Principal Balance]]/$E$46</f>
        <v>2.4159537357635779E-3</v>
      </c>
      <c r="G40" s="396">
        <v>68</v>
      </c>
      <c r="H40" s="480">
        <v>1504564.72</v>
      </c>
      <c r="I40" s="396">
        <v>5</v>
      </c>
      <c r="J40" s="480">
        <v>111085.26</v>
      </c>
      <c r="K40" s="519">
        <v>55</v>
      </c>
      <c r="L40" s="614">
        <v>1275012.46</v>
      </c>
      <c r="M40" s="519">
        <v>18</v>
      </c>
      <c r="N40" s="614">
        <v>340637.52</v>
      </c>
    </row>
    <row r="41" spans="1:14">
      <c r="B41" s="45" t="s">
        <v>418</v>
      </c>
      <c r="C41" s="288">
        <f>+Tabelle73[[#This Row],[Number of Contracts2]]+Tabelle73[[#This Row],[Number of Contracts4]]</f>
        <v>2887</v>
      </c>
      <c r="D41" s="310">
        <f>Tabelle56[[#This Row],[Number of Contracts]]/$C$46</f>
        <v>7.7114162081307766E-2</v>
      </c>
      <c r="E41" s="482">
        <f>+Tabelle73[[#This Row],[Outstanding Discounted Principal Balance3]]+Tabelle73[[#This Row],[Outstanding Discounted Principal Balance6]]</f>
        <v>48444468.449999996</v>
      </c>
      <c r="F41" s="310">
        <f>Tabelle56[[#This Row],[Outstanding Discounted Principal Balance]]/$E$46</f>
        <v>7.2441182172922308E-2</v>
      </c>
      <c r="G41" s="396">
        <v>2199</v>
      </c>
      <c r="H41" s="480">
        <v>37123977.289999999</v>
      </c>
      <c r="I41" s="396">
        <v>688</v>
      </c>
      <c r="J41" s="480">
        <v>11320491.159999998</v>
      </c>
      <c r="K41" s="519">
        <v>2586</v>
      </c>
      <c r="L41" s="614">
        <v>42642484.939999998</v>
      </c>
      <c r="M41" s="519">
        <v>301</v>
      </c>
      <c r="N41" s="614">
        <v>5801983.5099999998</v>
      </c>
    </row>
    <row r="42" spans="1:14">
      <c r="B42" s="45" t="s">
        <v>419</v>
      </c>
      <c r="C42" s="288">
        <f>+Tabelle73[[#This Row],[Number of Contracts2]]+Tabelle73[[#This Row],[Number of Contracts4]]</f>
        <v>2722</v>
      </c>
      <c r="D42" s="310">
        <f>Tabelle56[[#This Row],[Number of Contracts]]/$C$46</f>
        <v>7.2706875367273896E-2</v>
      </c>
      <c r="E42" s="482">
        <f>+Tabelle73[[#This Row],[Outstanding Discounted Principal Balance3]]+Tabelle73[[#This Row],[Outstanding Discounted Principal Balance6]]</f>
        <v>47048088.840000004</v>
      </c>
      <c r="F42" s="310">
        <f>Tabelle56[[#This Row],[Outstanding Discounted Principal Balance]]/$E$46</f>
        <v>7.035311323652832E-2</v>
      </c>
      <c r="G42" s="396">
        <v>2084</v>
      </c>
      <c r="H42" s="480">
        <v>35955399.770000003</v>
      </c>
      <c r="I42" s="396">
        <v>638</v>
      </c>
      <c r="J42" s="480">
        <v>11092689.07</v>
      </c>
      <c r="K42" s="519">
        <v>2503</v>
      </c>
      <c r="L42" s="614">
        <v>42982565.640000001</v>
      </c>
      <c r="M42" s="519">
        <v>219</v>
      </c>
      <c r="N42" s="614">
        <v>4065523.2</v>
      </c>
    </row>
    <row r="43" spans="1:14">
      <c r="B43" s="45" t="s">
        <v>420</v>
      </c>
      <c r="C43" s="288">
        <f>+Tabelle73[[#This Row],[Number of Contracts2]]+Tabelle73[[#This Row],[Number of Contracts4]]</f>
        <v>399</v>
      </c>
      <c r="D43" s="310">
        <f>Tabelle56[[#This Row],[Number of Contracts]]/$C$46</f>
        <v>1.0657620599390993E-2</v>
      </c>
      <c r="E43" s="482">
        <f>+Tabelle73[[#This Row],[Outstanding Discounted Principal Balance3]]+Tabelle73[[#This Row],[Outstanding Discounted Principal Balance6]]</f>
        <v>6938520.4199999999</v>
      </c>
      <c r="F43" s="310">
        <f>Tabelle56[[#This Row],[Outstanding Discounted Principal Balance]]/$E$46</f>
        <v>1.0375480170136151E-2</v>
      </c>
      <c r="G43" s="396">
        <v>299</v>
      </c>
      <c r="H43" s="480">
        <v>5243670.37</v>
      </c>
      <c r="I43" s="396">
        <v>100</v>
      </c>
      <c r="J43" s="480">
        <v>1694850.0499999998</v>
      </c>
      <c r="K43" s="519">
        <v>354</v>
      </c>
      <c r="L43" s="614">
        <v>6007712.71</v>
      </c>
      <c r="M43" s="519">
        <v>45</v>
      </c>
      <c r="N43" s="614">
        <v>930807.71</v>
      </c>
    </row>
    <row r="44" spans="1:14">
      <c r="B44" s="45" t="s">
        <v>421</v>
      </c>
      <c r="C44" s="288">
        <f>+Tabelle73[[#This Row],[Number of Contracts2]]+Tabelle73[[#This Row],[Number of Contracts4]]</f>
        <v>10428</v>
      </c>
      <c r="D44" s="310">
        <f>Tabelle56[[#This Row],[Number of Contracts]]/$C$46</f>
        <v>0.27854052032694054</v>
      </c>
      <c r="E44" s="482">
        <f>+Tabelle73[[#This Row],[Outstanding Discounted Principal Balance3]]+Tabelle73[[#This Row],[Outstanding Discounted Principal Balance6]]</f>
        <v>178696880.99000001</v>
      </c>
      <c r="F44" s="310">
        <f>Tabelle56[[#This Row],[Outstanding Discounted Principal Balance]]/$E$46</f>
        <v>0.26721344507867356</v>
      </c>
      <c r="G44" s="396">
        <v>7255</v>
      </c>
      <c r="H44" s="480">
        <v>119830295.37</v>
      </c>
      <c r="I44" s="396">
        <v>3173</v>
      </c>
      <c r="J44" s="480">
        <v>58866585.619999997</v>
      </c>
      <c r="K44" s="519">
        <v>9476</v>
      </c>
      <c r="L44" s="614">
        <v>160163507.83000001</v>
      </c>
      <c r="M44" s="519">
        <v>952</v>
      </c>
      <c r="N44" s="614">
        <v>18533373.16</v>
      </c>
    </row>
    <row r="45" spans="1:14">
      <c r="A45" s="742" t="s">
        <v>655</v>
      </c>
      <c r="B45" s="45" t="s">
        <v>422</v>
      </c>
      <c r="C45" s="288">
        <f>+Tabelle73[[#This Row],[Number of Contracts2]]+Tabelle73[[#This Row],[Number of Contracts4]]</f>
        <v>194</v>
      </c>
      <c r="D45" s="310">
        <f>Tabelle56[[#This Row],[Number of Contracts]]/$C$46</f>
        <v>5.1819007425610341E-3</v>
      </c>
      <c r="E45" s="482">
        <f>+Tabelle73[[#This Row],[Outstanding Discounted Principal Balance3]]+Tabelle73[[#This Row],[Outstanding Discounted Principal Balance6]]</f>
        <v>3598720.5</v>
      </c>
      <c r="F45" s="310">
        <f>Tabelle56[[#This Row],[Outstanding Discounted Principal Balance]]/$E$46</f>
        <v>5.3813278516823123E-3</v>
      </c>
      <c r="G45" s="396">
        <v>177</v>
      </c>
      <c r="H45" s="396">
        <v>3278280.63</v>
      </c>
      <c r="I45" s="396">
        <v>17</v>
      </c>
      <c r="J45" s="480">
        <v>320439.87</v>
      </c>
      <c r="K45" s="519">
        <v>172</v>
      </c>
      <c r="L45" s="614">
        <v>3109398.3</v>
      </c>
      <c r="M45" s="519">
        <v>22</v>
      </c>
      <c r="N45" s="614">
        <v>489322.2</v>
      </c>
    </row>
    <row r="46" spans="1:14">
      <c r="B46" s="290" t="s">
        <v>42</v>
      </c>
      <c r="C46" s="291">
        <f>+Tabelle73[[#This Row],[Number of Contracts2]]+Tabelle73[[#This Row],[Number of Contracts4]]</f>
        <v>37438</v>
      </c>
      <c r="D46" s="311">
        <f>Tabelle56[[#This Row],[Number of Contracts]]/$C$46</f>
        <v>1</v>
      </c>
      <c r="E46" s="462">
        <f>+Tabelle73[[#This Row],[Outstanding Discounted Principal Balance3]]+Tabelle73[[#This Row],[Outstanding Discounted Principal Balance6]]</f>
        <v>668742102.17000008</v>
      </c>
      <c r="F46" s="311">
        <f>Tabelle56[[#This Row],[Outstanding Discounted Principal Balance]]/$E$46</f>
        <v>1</v>
      </c>
      <c r="G46" s="399">
        <f>SUM(G19:G45)</f>
        <v>28483</v>
      </c>
      <c r="H46" s="483">
        <f t="shared" ref="H46:N46" si="9">SUM(H19:H45)</f>
        <v>504582943.28000009</v>
      </c>
      <c r="I46" s="399">
        <f t="shared" si="9"/>
        <v>8955</v>
      </c>
      <c r="J46" s="483">
        <f t="shared" si="9"/>
        <v>164159158.89000002</v>
      </c>
      <c r="K46" s="520">
        <f t="shared" si="9"/>
        <v>33800</v>
      </c>
      <c r="L46" s="483">
        <f t="shared" si="9"/>
        <v>600514411.62999988</v>
      </c>
      <c r="M46" s="520">
        <f t="shared" si="9"/>
        <v>3638</v>
      </c>
      <c r="N46" s="483">
        <f t="shared" si="9"/>
        <v>68227690.540000007</v>
      </c>
    </row>
    <row r="47" spans="1:14">
      <c r="B47" s="464"/>
      <c r="C47" s="528"/>
      <c r="D47" s="732"/>
      <c r="E47" s="526"/>
      <c r="F47" s="732"/>
      <c r="G47" s="113"/>
    </row>
  </sheetData>
  <mergeCells count="14">
    <mergeCell ref="K7:N7"/>
    <mergeCell ref="K8:L8"/>
    <mergeCell ref="M8:N8"/>
    <mergeCell ref="K16:N16"/>
    <mergeCell ref="C7:F8"/>
    <mergeCell ref="G8:H8"/>
    <mergeCell ref="I8:J8"/>
    <mergeCell ref="G7:J7"/>
    <mergeCell ref="C16:F17"/>
    <mergeCell ref="G17:H17"/>
    <mergeCell ref="I17:J17"/>
    <mergeCell ref="K17:L17"/>
    <mergeCell ref="M17:N17"/>
    <mergeCell ref="G16:J16"/>
  </mergeCells>
  <hyperlinks>
    <hyperlink ref="N3" location="Index!A1" display="Index"/>
  </hyperlinks>
  <printOptions horizontalCentered="1" verticalCentered="1"/>
  <pageMargins left="0.70866141732283472" right="0.70866141732283472" top="0.78740157480314965" bottom="0.78740157480314965" header="0.31496062992125984" footer="0.31496062992125984"/>
  <pageSetup paperSize="9" scale="60" orientation="landscape" r:id="rId1"/>
  <headerFooter>
    <oddFooter>&amp;C22&amp;R&amp;K00-046Banco Volkswagen S.A.
Rua Volkswagen, nº 291
São Paulo - SP - Brazil
Tel: +55 11 5582 5591
TESOU-ABS@vwfs.com</oddFooter>
  </headerFooter>
  <ignoredErrors>
    <ignoredError sqref="G14 K14:N14 D14:F14 G11 G13 G12 F13 F12 D12 D13 C11:F11 C13 E13 C12 E12 H12:I12 I13:J13 H11:J11 K11:N13 J12 H13 G10:N10 D10 F10 C10 E10" calculatedColumn="1"/>
  </ignoredErrors>
  <drawing r:id="rId2"/>
  <tableParts count="4">
    <tablePart r:id="rId3"/>
    <tablePart r:id="rId4"/>
    <tablePart r:id="rId5"/>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499984740745262"/>
    <pageSetUpPr fitToPage="1"/>
  </sheetPr>
  <dimension ref="A1:XFD97"/>
  <sheetViews>
    <sheetView showGridLines="0" zoomScale="85" zoomScaleNormal="85" workbookViewId="0">
      <pane xSplit="2" topLeftCell="C1" activePane="topRight" state="frozen"/>
      <selection activeCell="A17" sqref="A17:E17"/>
      <selection pane="topRight" activeCell="N49" sqref="N49"/>
    </sheetView>
  </sheetViews>
  <sheetFormatPr defaultColWidth="0" defaultRowHeight="12.75"/>
  <cols>
    <col min="1" max="1" width="20.7109375" customWidth="1"/>
    <col min="2" max="2" width="14.7109375" customWidth="1"/>
    <col min="3" max="4" width="12.7109375" customWidth="1"/>
    <col min="5" max="5" width="21.7109375" customWidth="1"/>
    <col min="6" max="6" width="14.7109375" customWidth="1"/>
    <col min="7" max="7" width="12.85546875" customWidth="1"/>
    <col min="8" max="8" width="21.7109375" customWidth="1"/>
    <col min="9" max="9" width="12.85546875" customWidth="1"/>
    <col min="10" max="10" width="21.7109375" customWidth="1"/>
    <col min="11" max="11" width="12.85546875" customWidth="1"/>
    <col min="12" max="12" width="21.7109375" style="482" customWidth="1"/>
    <col min="13" max="13" width="12.85546875" customWidth="1"/>
    <col min="14" max="14" width="21.7109375" style="482" customWidth="1"/>
    <col min="15" max="15" width="0.42578125" customWidth="1"/>
    <col min="16" max="17" width="0" hidden="1" customWidth="1"/>
    <col min="18" max="16384" width="13.7109375" hidden="1"/>
  </cols>
  <sheetData>
    <row r="1" spans="1:14" ht="14.25" customHeight="1">
      <c r="A1" s="224"/>
      <c r="B1" s="224"/>
      <c r="C1" s="224"/>
      <c r="D1" s="224"/>
      <c r="E1" s="224"/>
      <c r="F1" s="224"/>
      <c r="G1" s="224"/>
      <c r="H1" s="224"/>
      <c r="I1" s="224"/>
      <c r="J1" s="224"/>
      <c r="K1" s="224"/>
      <c r="L1" s="535"/>
      <c r="M1" s="224"/>
      <c r="N1" s="529" t="str">
        <f>CONCATENATE("Publication Date: ",TEXT(Input!$C$7,"dd.MM.aaaa"))</f>
        <v>Publication Date: 05.03.2020</v>
      </c>
    </row>
    <row r="2" spans="1:14" ht="14.25" customHeight="1">
      <c r="A2" s="224"/>
      <c r="B2" s="224"/>
      <c r="C2" s="224"/>
      <c r="D2" s="224"/>
      <c r="E2" s="224"/>
      <c r="F2" s="224"/>
      <c r="G2" s="224"/>
      <c r="H2" s="224"/>
      <c r="I2" s="224"/>
      <c r="J2" s="224"/>
      <c r="K2" s="224"/>
      <c r="L2" s="535"/>
      <c r="M2" s="224"/>
      <c r="N2" s="536" t="str">
        <f>CONCATENATE("Period: ",TEXT(Input!$C$5,"MM.AAAA")," / Period No. ",Input!$C$6)</f>
        <v>Period: 02.2020 / Period No. 9</v>
      </c>
    </row>
    <row r="3" spans="1:14" ht="14.25" customHeight="1">
      <c r="A3" s="224"/>
      <c r="B3" s="224"/>
      <c r="C3" s="224"/>
      <c r="D3" s="224"/>
      <c r="E3" s="224"/>
      <c r="F3" s="224"/>
      <c r="G3" s="224"/>
      <c r="H3" s="224"/>
      <c r="I3" s="224"/>
      <c r="J3" s="224"/>
      <c r="K3" s="224"/>
      <c r="L3" s="535"/>
      <c r="M3" s="224"/>
      <c r="N3" s="537" t="s">
        <v>236</v>
      </c>
    </row>
    <row r="5" spans="1:14" ht="15.75" customHeight="1">
      <c r="A5" s="118" t="s">
        <v>196</v>
      </c>
    </row>
    <row r="7" spans="1:14" s="365" customFormat="1">
      <c r="A7"/>
      <c r="B7"/>
      <c r="C7" s="798" t="s">
        <v>182</v>
      </c>
      <c r="D7" s="799"/>
      <c r="E7" s="799"/>
      <c r="F7" s="799"/>
      <c r="G7" s="837" t="s">
        <v>142</v>
      </c>
      <c r="H7" s="837"/>
      <c r="I7" s="837"/>
      <c r="J7" s="837"/>
      <c r="K7" s="837" t="s">
        <v>62</v>
      </c>
      <c r="L7" s="837"/>
      <c r="M7" s="837"/>
      <c r="N7" s="837"/>
    </row>
    <row r="8" spans="1:14" s="365" customFormat="1">
      <c r="A8"/>
      <c r="B8"/>
      <c r="C8" s="835"/>
      <c r="D8" s="836"/>
      <c r="E8" s="836"/>
      <c r="F8" s="836"/>
      <c r="G8" s="839" t="s">
        <v>170</v>
      </c>
      <c r="H8" s="840"/>
      <c r="I8" s="839" t="s">
        <v>171</v>
      </c>
      <c r="J8" s="840"/>
      <c r="K8" s="841" t="s">
        <v>172</v>
      </c>
      <c r="L8" s="841"/>
      <c r="M8" s="842" t="s">
        <v>173</v>
      </c>
      <c r="N8" s="842"/>
    </row>
    <row r="9" spans="1:14" ht="51">
      <c r="A9" s="317" t="s">
        <v>189</v>
      </c>
      <c r="B9" s="123" t="s">
        <v>190</v>
      </c>
      <c r="C9" s="308" t="s">
        <v>41</v>
      </c>
      <c r="D9" s="308" t="s">
        <v>169</v>
      </c>
      <c r="E9" s="308" t="s">
        <v>276</v>
      </c>
      <c r="F9" s="353" t="s">
        <v>379</v>
      </c>
      <c r="G9" s="395" t="s">
        <v>255</v>
      </c>
      <c r="H9" s="395" t="s">
        <v>479</v>
      </c>
      <c r="I9" s="395" t="s">
        <v>256</v>
      </c>
      <c r="J9" s="395" t="s">
        <v>484</v>
      </c>
      <c r="K9" s="395" t="s">
        <v>258</v>
      </c>
      <c r="L9" s="395" t="s">
        <v>487</v>
      </c>
      <c r="M9" s="395" t="s">
        <v>259</v>
      </c>
      <c r="N9" s="395" t="s">
        <v>488</v>
      </c>
    </row>
    <row r="10" spans="1:14">
      <c r="A10" t="s">
        <v>191</v>
      </c>
      <c r="B10" t="s">
        <v>548</v>
      </c>
      <c r="C10" s="288">
        <f t="shared" ref="C10:C40" si="0">+G10+I10</f>
        <v>1059</v>
      </c>
      <c r="D10" s="312">
        <f>+Tabelle54[[#This Row],[Number of Contracts]]/$C$50</f>
        <v>2.8286767455526472E-2</v>
      </c>
      <c r="E10" s="482">
        <f t="shared" ref="E10:E40" si="1">+H10+J10</f>
        <v>30862928.59</v>
      </c>
      <c r="F10" s="312">
        <f>+Tabelle54[[#This Row],[Outstanding Discounted Principal Balance]]/$E$50</f>
        <v>4.6150718625091701E-2</v>
      </c>
      <c r="G10" s="656">
        <v>975</v>
      </c>
      <c r="H10" s="657">
        <v>28150306.539999999</v>
      </c>
      <c r="I10" s="656">
        <v>84</v>
      </c>
      <c r="J10" s="657">
        <v>2712622.05</v>
      </c>
      <c r="K10" s="656">
        <v>720</v>
      </c>
      <c r="L10" s="658">
        <v>20822708.440000001</v>
      </c>
      <c r="M10" s="656">
        <v>339</v>
      </c>
      <c r="N10" s="658">
        <v>10040220.15</v>
      </c>
    </row>
    <row r="11" spans="1:14">
      <c r="A11" t="s">
        <v>192</v>
      </c>
      <c r="B11" t="s">
        <v>549</v>
      </c>
      <c r="C11" s="288">
        <f t="shared" si="0"/>
        <v>2</v>
      </c>
      <c r="D11" s="312">
        <f>+Tabelle54[[#This Row],[Number of Contracts]]/$C$50</f>
        <v>5.3421657139804475E-5</v>
      </c>
      <c r="E11" s="482">
        <f t="shared" si="1"/>
        <v>10485.98</v>
      </c>
      <c r="F11" s="312">
        <f>+Tabelle54[[#This Row],[Outstanding Discounted Principal Balance]]/$E$50</f>
        <v>1.5680155273571174E-5</v>
      </c>
      <c r="G11" s="656">
        <v>0</v>
      </c>
      <c r="H11" s="657">
        <v>0</v>
      </c>
      <c r="I11" s="656">
        <v>2</v>
      </c>
      <c r="J11" s="657">
        <v>10485.98</v>
      </c>
      <c r="K11" s="656">
        <v>2</v>
      </c>
      <c r="L11" s="658">
        <v>10485.98</v>
      </c>
      <c r="M11" s="656">
        <v>0</v>
      </c>
      <c r="N11" s="658">
        <v>0</v>
      </c>
    </row>
    <row r="12" spans="1:14">
      <c r="A12" t="s">
        <v>192</v>
      </c>
      <c r="B12" t="s">
        <v>550</v>
      </c>
      <c r="C12" s="288">
        <f t="shared" si="0"/>
        <v>188</v>
      </c>
      <c r="D12" s="312">
        <f>+Tabelle54[[#This Row],[Number of Contracts]]/$C$50</f>
        <v>5.021635771141621E-3</v>
      </c>
      <c r="E12" s="482">
        <f t="shared" si="1"/>
        <v>3196237.42</v>
      </c>
      <c r="F12" s="312">
        <f>+Tabelle54[[#This Row],[Outstanding Discounted Principal Balance]]/$E$50</f>
        <v>4.7794768859752285E-3</v>
      </c>
      <c r="G12" s="656">
        <v>61</v>
      </c>
      <c r="H12" s="657">
        <v>818993.22</v>
      </c>
      <c r="I12" s="656">
        <v>127</v>
      </c>
      <c r="J12" s="657">
        <v>2377244.2000000002</v>
      </c>
      <c r="K12" s="656">
        <v>186</v>
      </c>
      <c r="L12" s="658">
        <v>3172152.61</v>
      </c>
      <c r="M12" s="656">
        <v>2</v>
      </c>
      <c r="N12" s="658">
        <v>24084.81</v>
      </c>
    </row>
    <row r="13" spans="1:14">
      <c r="A13" t="s">
        <v>192</v>
      </c>
      <c r="B13" t="s">
        <v>551</v>
      </c>
      <c r="C13" s="288">
        <f t="shared" si="0"/>
        <v>5730</v>
      </c>
      <c r="D13" s="312">
        <f>+Tabelle54[[#This Row],[Number of Contracts]]/$C$50</f>
        <v>0.15305304770553982</v>
      </c>
      <c r="E13" s="482">
        <f t="shared" si="1"/>
        <v>96408788.409999996</v>
      </c>
      <c r="F13" s="312">
        <f>+Tabelle54[[#This Row],[Outstanding Discounted Principal Balance]]/$E$50</f>
        <v>0.14416437681606001</v>
      </c>
      <c r="G13" s="656">
        <v>4771</v>
      </c>
      <c r="H13" s="657">
        <v>80556877.269999996</v>
      </c>
      <c r="I13" s="656">
        <v>959</v>
      </c>
      <c r="J13" s="657">
        <v>15851911.140000001</v>
      </c>
      <c r="K13" s="656">
        <v>5592</v>
      </c>
      <c r="L13" s="658">
        <v>93807856.780000001</v>
      </c>
      <c r="M13" s="656">
        <v>138</v>
      </c>
      <c r="N13" s="658">
        <v>2600931.63</v>
      </c>
    </row>
    <row r="14" spans="1:14">
      <c r="A14" t="s">
        <v>192</v>
      </c>
      <c r="B14" t="s">
        <v>629</v>
      </c>
      <c r="C14" s="288">
        <f t="shared" si="0"/>
        <v>1</v>
      </c>
      <c r="D14" s="312">
        <f>+Tabelle54[[#This Row],[Number of Contracts]]/$C$50</f>
        <v>2.6710828569902237E-5</v>
      </c>
      <c r="E14" s="482">
        <f t="shared" si="1"/>
        <v>39194.47</v>
      </c>
      <c r="F14" s="312">
        <f>+Tabelle54[[#This Row],[Outstanding Discounted Principal Balance]]/$E$50</f>
        <v>5.8609245436795339E-5</v>
      </c>
      <c r="G14" s="656">
        <v>0</v>
      </c>
      <c r="H14" s="657">
        <v>0</v>
      </c>
      <c r="I14" s="656">
        <v>1</v>
      </c>
      <c r="J14" s="657">
        <v>39194.47</v>
      </c>
      <c r="K14" s="656">
        <v>1</v>
      </c>
      <c r="L14" s="658">
        <v>39194.47</v>
      </c>
      <c r="M14" s="656">
        <v>0</v>
      </c>
      <c r="N14" s="658">
        <v>0</v>
      </c>
    </row>
    <row r="15" spans="1:14">
      <c r="B15" t="s">
        <v>552</v>
      </c>
      <c r="C15" s="288">
        <f t="shared" si="0"/>
        <v>5612</v>
      </c>
      <c r="D15" s="312">
        <f>+Tabelle54[[#This Row],[Number of Contracts]]/$C$50</f>
        <v>0.14990116993429137</v>
      </c>
      <c r="E15" s="482">
        <f t="shared" si="1"/>
        <v>88641673.150000006</v>
      </c>
      <c r="F15" s="312">
        <f>+Tabelle54[[#This Row],[Outstanding Discounted Principal Balance]]/$E$50</f>
        <v>0.13254986169162492</v>
      </c>
      <c r="G15" s="656">
        <v>4464</v>
      </c>
      <c r="H15" s="657">
        <v>71745691.969999999</v>
      </c>
      <c r="I15" s="656">
        <v>1148</v>
      </c>
      <c r="J15" s="657">
        <v>16895981.18</v>
      </c>
      <c r="K15" s="656">
        <v>4659</v>
      </c>
      <c r="L15" s="658">
        <v>75502946.349999994</v>
      </c>
      <c r="M15" s="656">
        <v>953</v>
      </c>
      <c r="N15" s="658">
        <v>13138726.800000001</v>
      </c>
    </row>
    <row r="16" spans="1:14">
      <c r="B16" t="s">
        <v>553</v>
      </c>
      <c r="C16" s="288">
        <f t="shared" si="0"/>
        <v>302</v>
      </c>
      <c r="D16" s="312">
        <f>+Tabelle54[[#This Row],[Number of Contracts]]/$C$50</f>
        <v>8.0666702281104764E-3</v>
      </c>
      <c r="E16" s="482">
        <f t="shared" si="1"/>
        <v>4352661.49</v>
      </c>
      <c r="F16" s="312">
        <f>+Tabelle54[[#This Row],[Outstanding Discounted Principal Balance]]/$E$50</f>
        <v>6.5087295623769709E-3</v>
      </c>
      <c r="G16" s="656">
        <v>233</v>
      </c>
      <c r="H16" s="657">
        <v>2905262.57</v>
      </c>
      <c r="I16" s="656">
        <v>69</v>
      </c>
      <c r="J16" s="657">
        <v>1447398.92</v>
      </c>
      <c r="K16" s="656">
        <v>278</v>
      </c>
      <c r="L16" s="658">
        <v>3943170.22</v>
      </c>
      <c r="M16" s="656">
        <v>24</v>
      </c>
      <c r="N16" s="658">
        <v>409491.27</v>
      </c>
    </row>
    <row r="17" spans="1:15">
      <c r="B17" t="s">
        <v>554</v>
      </c>
      <c r="C17" s="288">
        <f t="shared" si="0"/>
        <v>177</v>
      </c>
      <c r="D17" s="312">
        <f>+Tabelle54[[#This Row],[Number of Contracts]]/$C$50</f>
        <v>4.7278166568726961E-3</v>
      </c>
      <c r="E17" s="482">
        <f t="shared" si="1"/>
        <v>3777177.2199999997</v>
      </c>
      <c r="F17" s="312">
        <f>+Tabelle54[[#This Row],[Outstanding Discounted Principal Balance]]/$E$50</f>
        <v>5.6481821732824117E-3</v>
      </c>
      <c r="G17" s="656">
        <v>94</v>
      </c>
      <c r="H17" s="657">
        <v>1803983.94</v>
      </c>
      <c r="I17" s="656">
        <v>83</v>
      </c>
      <c r="J17" s="657">
        <v>1973193.28</v>
      </c>
      <c r="K17" s="656">
        <v>163</v>
      </c>
      <c r="L17" s="658">
        <v>3560917.98</v>
      </c>
      <c r="M17" s="656">
        <v>14</v>
      </c>
      <c r="N17" s="658">
        <v>216259.24</v>
      </c>
    </row>
    <row r="18" spans="1:15">
      <c r="B18" t="s">
        <v>555</v>
      </c>
      <c r="C18" s="288">
        <f t="shared" si="0"/>
        <v>11</v>
      </c>
      <c r="D18" s="312">
        <f>+Tabelle54[[#This Row],[Number of Contracts]]/$C$50</f>
        <v>2.9381911426892463E-4</v>
      </c>
      <c r="E18" s="482">
        <f t="shared" si="1"/>
        <v>124579.08</v>
      </c>
      <c r="F18" s="312">
        <f>+Tabelle54[[#This Row],[Outstanding Discounted Principal Balance]]/$E$50</f>
        <v>1.8628867480565911E-4</v>
      </c>
      <c r="G18" s="656">
        <v>0</v>
      </c>
      <c r="H18" s="657">
        <v>0</v>
      </c>
      <c r="I18" s="656">
        <v>11</v>
      </c>
      <c r="J18" s="657">
        <v>124579.08</v>
      </c>
      <c r="K18" s="656">
        <v>7</v>
      </c>
      <c r="L18" s="658">
        <v>86399.75</v>
      </c>
      <c r="M18" s="656">
        <v>4</v>
      </c>
      <c r="N18" s="658">
        <v>38179.33</v>
      </c>
    </row>
    <row r="19" spans="1:15">
      <c r="A19" t="s">
        <v>192</v>
      </c>
      <c r="B19" t="s">
        <v>598</v>
      </c>
      <c r="C19" s="288">
        <f t="shared" si="0"/>
        <v>1</v>
      </c>
      <c r="D19" s="312">
        <f>+Tabelle54[[#This Row],[Number of Contracts]]/$C$50</f>
        <v>2.6710828569902237E-5</v>
      </c>
      <c r="E19" s="482">
        <f t="shared" si="1"/>
        <v>9419.59</v>
      </c>
      <c r="F19" s="312">
        <f>+Tabelle54[[#This Row],[Outstanding Discounted Principal Balance]]/$E$50</f>
        <v>1.4085534572198144E-5</v>
      </c>
      <c r="G19" s="656">
        <v>0</v>
      </c>
      <c r="H19" s="657">
        <v>0</v>
      </c>
      <c r="I19" s="656">
        <v>1</v>
      </c>
      <c r="J19" s="657">
        <v>9419.59</v>
      </c>
      <c r="K19" s="656">
        <v>1</v>
      </c>
      <c r="L19" s="658">
        <v>9419.59</v>
      </c>
      <c r="M19" s="656">
        <v>0</v>
      </c>
      <c r="N19" s="658">
        <v>0</v>
      </c>
    </row>
    <row r="20" spans="1:15">
      <c r="A20" t="s">
        <v>192</v>
      </c>
      <c r="B20" t="s">
        <v>556</v>
      </c>
      <c r="C20" s="288">
        <f t="shared" si="0"/>
        <v>9</v>
      </c>
      <c r="D20" s="312">
        <f>+Tabelle54[[#This Row],[Number of Contracts]]/$C$50</f>
        <v>2.4039745712912014E-4</v>
      </c>
      <c r="E20" s="482">
        <f t="shared" si="1"/>
        <v>47061.31</v>
      </c>
      <c r="F20" s="312">
        <f>+Tabelle54[[#This Row],[Outstanding Discounted Principal Balance]]/$E$50</f>
        <v>7.0372883428889609E-5</v>
      </c>
      <c r="G20" s="656">
        <v>0</v>
      </c>
      <c r="H20" s="657">
        <v>0</v>
      </c>
      <c r="I20" s="656">
        <v>9</v>
      </c>
      <c r="J20" s="657">
        <v>47061.31</v>
      </c>
      <c r="K20" s="656">
        <v>9</v>
      </c>
      <c r="L20" s="658">
        <v>47061.31</v>
      </c>
      <c r="M20" s="656">
        <v>0</v>
      </c>
      <c r="N20" s="658">
        <v>0</v>
      </c>
    </row>
    <row r="21" spans="1:15">
      <c r="A21" t="s">
        <v>192</v>
      </c>
      <c r="B21" t="s">
        <v>557</v>
      </c>
      <c r="C21" s="288">
        <f t="shared" si="0"/>
        <v>119</v>
      </c>
      <c r="D21" s="312">
        <f>+Tabelle54[[#This Row],[Number of Contracts]]/$C$50</f>
        <v>3.1785885998183664E-3</v>
      </c>
      <c r="E21" s="482">
        <f t="shared" si="1"/>
        <v>2726665.58</v>
      </c>
      <c r="F21" s="312">
        <f>+Tabelle54[[#This Row],[Outstanding Discounted Principal Balance]]/$E$50</f>
        <v>4.0773050943738219E-3</v>
      </c>
      <c r="G21" s="656">
        <v>113</v>
      </c>
      <c r="H21" s="657">
        <v>2577951.79</v>
      </c>
      <c r="I21" s="656">
        <v>6</v>
      </c>
      <c r="J21" s="657">
        <v>148713.79</v>
      </c>
      <c r="K21" s="656">
        <v>90</v>
      </c>
      <c r="L21" s="658">
        <v>1973098.71</v>
      </c>
      <c r="M21" s="656">
        <v>29</v>
      </c>
      <c r="N21" s="658">
        <v>753566.87</v>
      </c>
    </row>
    <row r="22" spans="1:15">
      <c r="A22" t="s">
        <v>192</v>
      </c>
      <c r="B22" t="s">
        <v>558</v>
      </c>
      <c r="C22" s="288">
        <f t="shared" si="0"/>
        <v>6727</v>
      </c>
      <c r="D22" s="312">
        <f>+Tabelle54[[#This Row],[Number of Contracts]]/$C$50</f>
        <v>0.17968374378973237</v>
      </c>
      <c r="E22" s="482">
        <f t="shared" si="1"/>
        <v>115857914.39</v>
      </c>
      <c r="F22" s="312">
        <f>+Tabelle54[[#This Row],[Outstanding Discounted Principal Balance]]/$E$50</f>
        <v>0.17324752548710909</v>
      </c>
      <c r="G22" s="656">
        <v>6617</v>
      </c>
      <c r="H22" s="657">
        <v>113645384.05</v>
      </c>
      <c r="I22" s="656">
        <v>110</v>
      </c>
      <c r="J22" s="657">
        <v>2212530.34</v>
      </c>
      <c r="K22" s="656">
        <v>6458</v>
      </c>
      <c r="L22" s="658">
        <v>110516269.04000001</v>
      </c>
      <c r="M22" s="656">
        <v>269</v>
      </c>
      <c r="N22" s="658">
        <v>5341645.3499999996</v>
      </c>
    </row>
    <row r="23" spans="1:15">
      <c r="A23" t="s">
        <v>192</v>
      </c>
      <c r="B23" t="s">
        <v>559</v>
      </c>
      <c r="C23" s="288">
        <f t="shared" si="0"/>
        <v>69</v>
      </c>
      <c r="D23" s="312">
        <f>+Tabelle54[[#This Row],[Number of Contracts]]/$C$50</f>
        <v>1.8430471713232544E-3</v>
      </c>
      <c r="E23" s="482">
        <f t="shared" si="1"/>
        <v>956293.95000000007</v>
      </c>
      <c r="F23" s="312">
        <f>+Tabelle54[[#This Row],[Outstanding Discounted Principal Balance]]/$E$50</f>
        <v>1.4299891496242325E-3</v>
      </c>
      <c r="G23" s="656">
        <v>0</v>
      </c>
      <c r="H23" s="657">
        <v>0</v>
      </c>
      <c r="I23" s="656">
        <v>69</v>
      </c>
      <c r="J23" s="657">
        <v>956293.95000000007</v>
      </c>
      <c r="K23" s="656">
        <v>69</v>
      </c>
      <c r="L23" s="658">
        <v>956293.95</v>
      </c>
      <c r="M23" s="656">
        <v>0</v>
      </c>
      <c r="N23" s="658">
        <v>0</v>
      </c>
    </row>
    <row r="24" spans="1:15">
      <c r="A24" t="s">
        <v>192</v>
      </c>
      <c r="B24" t="s">
        <v>560</v>
      </c>
      <c r="C24" s="288">
        <f t="shared" si="0"/>
        <v>2050</v>
      </c>
      <c r="D24" s="312">
        <f>+Tabelle54[[#This Row],[Number of Contracts]]/$C$50</f>
        <v>5.4757198568299588E-2</v>
      </c>
      <c r="E24" s="482">
        <f t="shared" si="1"/>
        <v>40340529.529999994</v>
      </c>
      <c r="F24" s="312">
        <f>+Tabelle54[[#This Row],[Outstanding Discounted Principal Balance]]/$E$50</f>
        <v>6.0322999552591468E-2</v>
      </c>
      <c r="G24" s="656">
        <v>1791</v>
      </c>
      <c r="H24" s="657">
        <v>35191296.229999997</v>
      </c>
      <c r="I24" s="656">
        <v>259</v>
      </c>
      <c r="J24" s="657">
        <v>5149233.3</v>
      </c>
      <c r="K24" s="656">
        <v>1041</v>
      </c>
      <c r="L24" s="658">
        <v>21398059.789999999</v>
      </c>
      <c r="M24" s="656">
        <v>1009</v>
      </c>
      <c r="N24" s="658">
        <v>18942469.739999998</v>
      </c>
    </row>
    <row r="25" spans="1:15">
      <c r="B25" t="s">
        <v>561</v>
      </c>
      <c r="C25" s="288">
        <f t="shared" si="0"/>
        <v>21</v>
      </c>
      <c r="D25" s="312">
        <f>+Tabelle54[[#This Row],[Number of Contracts]]/$C$50</f>
        <v>5.6092739996794702E-4</v>
      </c>
      <c r="E25" s="482">
        <f t="shared" si="1"/>
        <v>271673.01</v>
      </c>
      <c r="F25" s="312">
        <f>+Tabelle54[[#This Row],[Outstanding Discounted Principal Balance]]/$E$50</f>
        <v>4.0624481263920538E-4</v>
      </c>
      <c r="G25" s="656">
        <v>7</v>
      </c>
      <c r="H25" s="657">
        <v>51169.15</v>
      </c>
      <c r="I25" s="656">
        <v>14</v>
      </c>
      <c r="J25" s="657">
        <v>220503.86</v>
      </c>
      <c r="K25" s="656">
        <v>21</v>
      </c>
      <c r="L25" s="658">
        <v>271673.01</v>
      </c>
      <c r="M25" s="656">
        <v>0</v>
      </c>
      <c r="N25" s="658">
        <v>0</v>
      </c>
    </row>
    <row r="26" spans="1:15">
      <c r="B26" t="s">
        <v>562</v>
      </c>
      <c r="C26" s="288">
        <f t="shared" ref="C26" si="2">+G26+I26</f>
        <v>427</v>
      </c>
      <c r="D26" s="312">
        <f>+Tabelle54[[#This Row],[Number of Contracts]]/$C$50</f>
        <v>1.1405523799348255E-2</v>
      </c>
      <c r="E26" s="482">
        <f t="shared" ref="E26" si="3">+H26+J26</f>
        <v>7769246.75</v>
      </c>
      <c r="F26" s="312">
        <f>+Tabelle54[[#This Row],[Outstanding Discounted Principal Balance]]/$E$50</f>
        <v>1.161770243684312E-2</v>
      </c>
      <c r="G26" s="656">
        <v>289</v>
      </c>
      <c r="H26" s="657">
        <v>5607184.0999999996</v>
      </c>
      <c r="I26" s="656">
        <v>138</v>
      </c>
      <c r="J26" s="657">
        <v>2162062.65</v>
      </c>
      <c r="K26" s="656">
        <v>366</v>
      </c>
      <c r="L26" s="658">
        <v>6713025.5199999996</v>
      </c>
      <c r="M26" s="656">
        <v>61</v>
      </c>
      <c r="N26" s="658">
        <v>1056221.23</v>
      </c>
    </row>
    <row r="27" spans="1:15">
      <c r="B27" t="s">
        <v>563</v>
      </c>
      <c r="C27" s="288">
        <f t="shared" si="0"/>
        <v>380</v>
      </c>
      <c r="D27" s="312">
        <f>+Tabelle54[[#This Row],[Number of Contracts]]/$C$50</f>
        <v>1.015011485656285E-2</v>
      </c>
      <c r="E27" s="482">
        <f t="shared" si="1"/>
        <v>7114762</v>
      </c>
      <c r="F27" s="312">
        <f>+Tabelle54[[#This Row],[Outstanding Discounted Principal Balance]]/$E$50</f>
        <v>1.0639022093738858E-2</v>
      </c>
      <c r="G27" s="656">
        <v>371</v>
      </c>
      <c r="H27" s="657">
        <v>6829638.96</v>
      </c>
      <c r="I27" s="656">
        <v>9</v>
      </c>
      <c r="J27" s="657">
        <v>285123.03999999998</v>
      </c>
      <c r="K27" s="656">
        <v>342</v>
      </c>
      <c r="L27" s="658">
        <v>6431103.7699999996</v>
      </c>
      <c r="M27" s="656">
        <v>38</v>
      </c>
      <c r="N27" s="658">
        <v>683658.23</v>
      </c>
    </row>
    <row r="28" spans="1:15">
      <c r="B28" t="s">
        <v>564</v>
      </c>
      <c r="C28" s="288">
        <f t="shared" si="0"/>
        <v>1</v>
      </c>
      <c r="D28" s="312">
        <f>+Tabelle54[[#This Row],[Number of Contracts]]/$C$50</f>
        <v>2.6710828569902237E-5</v>
      </c>
      <c r="E28" s="482">
        <f t="shared" si="1"/>
        <v>37123.440000000002</v>
      </c>
      <c r="F28" s="312">
        <f>+Tabelle54[[#This Row],[Outstanding Discounted Principal Balance]]/$E$50</f>
        <v>5.5512341573138907E-5</v>
      </c>
      <c r="G28" s="656">
        <v>1</v>
      </c>
      <c r="H28" s="657">
        <v>37123.440000000002</v>
      </c>
      <c r="I28" s="656">
        <v>0</v>
      </c>
      <c r="J28" s="657">
        <v>0</v>
      </c>
      <c r="K28" s="656">
        <v>1</v>
      </c>
      <c r="L28" s="658">
        <v>37123.440000000002</v>
      </c>
      <c r="M28" s="656">
        <v>0</v>
      </c>
      <c r="N28" s="658">
        <v>0</v>
      </c>
    </row>
    <row r="29" spans="1:15">
      <c r="B29" t="s">
        <v>565</v>
      </c>
      <c r="C29" s="288">
        <f t="shared" si="0"/>
        <v>2462</v>
      </c>
      <c r="D29" s="312">
        <f>+Tabelle54[[#This Row],[Number of Contracts]]/$C$50</f>
        <v>6.576205993909931E-2</v>
      </c>
      <c r="E29" s="482">
        <f t="shared" si="1"/>
        <v>32151982.649999999</v>
      </c>
      <c r="F29" s="312">
        <f>+Tabelle54[[#This Row],[Outstanding Discounted Principal Balance]]/$E$50</f>
        <v>4.8078298862401642E-2</v>
      </c>
      <c r="G29" s="656">
        <v>2160</v>
      </c>
      <c r="H29" s="657">
        <v>26503072.32</v>
      </c>
      <c r="I29" s="656">
        <v>302</v>
      </c>
      <c r="J29" s="657">
        <v>5648910.3300000001</v>
      </c>
      <c r="K29" s="656">
        <v>2306</v>
      </c>
      <c r="L29" s="658">
        <v>29880306.640000001</v>
      </c>
      <c r="M29" s="656">
        <v>156</v>
      </c>
      <c r="N29" s="658">
        <v>2271676.0099999998</v>
      </c>
    </row>
    <row r="30" spans="1:15">
      <c r="B30" t="s">
        <v>630</v>
      </c>
      <c r="C30" s="288">
        <f t="shared" si="0"/>
        <v>3943</v>
      </c>
      <c r="D30" s="312">
        <f>+Tabelle54[[#This Row],[Number of Contracts]]/$C$50</f>
        <v>0.10532079705112453</v>
      </c>
      <c r="E30" s="482">
        <f t="shared" si="1"/>
        <v>80293307.090000004</v>
      </c>
      <c r="F30" s="312">
        <f>+Tabelle54[[#This Row],[Outstanding Discounted Principal Balance]]/$E$50</f>
        <v>0.12006617622766144</v>
      </c>
      <c r="G30" s="656">
        <v>3924</v>
      </c>
      <c r="H30" s="657">
        <v>79614967.469999999</v>
      </c>
      <c r="I30" s="656">
        <v>19</v>
      </c>
      <c r="J30" s="657">
        <v>678339.62</v>
      </c>
      <c r="K30" s="656">
        <v>3763</v>
      </c>
      <c r="L30" s="658">
        <v>75805937.099999994</v>
      </c>
      <c r="M30" s="656">
        <v>180</v>
      </c>
      <c r="N30" s="658">
        <v>4487369.99</v>
      </c>
    </row>
    <row r="31" spans="1:15">
      <c r="B31" t="s">
        <v>566</v>
      </c>
      <c r="C31" s="288">
        <f t="shared" si="0"/>
        <v>2329</v>
      </c>
      <c r="D31" s="312">
        <f>+Tabelle54[[#This Row],[Number of Contracts]]/$C$50</f>
        <v>6.2209519739302312E-2</v>
      </c>
      <c r="E31" s="482">
        <f t="shared" si="1"/>
        <v>39748311.939999998</v>
      </c>
      <c r="F31" s="312">
        <f>+Tabelle54[[#This Row],[Outstanding Discounted Principal Balance]]/$E$50</f>
        <v>5.9437430081074258E-2</v>
      </c>
      <c r="G31" s="656">
        <v>1731</v>
      </c>
      <c r="H31" s="657">
        <v>29211371.120000001</v>
      </c>
      <c r="I31" s="656">
        <v>598</v>
      </c>
      <c r="J31" s="657">
        <v>10536940.82</v>
      </c>
      <c r="K31" s="656">
        <v>2114</v>
      </c>
      <c r="L31" s="658">
        <v>36204881.32</v>
      </c>
      <c r="M31" s="656">
        <v>215</v>
      </c>
      <c r="N31" s="658">
        <v>3543430.62</v>
      </c>
    </row>
    <row r="32" spans="1:15" hidden="1">
      <c r="C32" s="288"/>
      <c r="D32" s="312"/>
      <c r="E32" s="482"/>
      <c r="F32" s="312"/>
      <c r="G32" s="656">
        <v>0</v>
      </c>
      <c r="H32" s="657">
        <v>0</v>
      </c>
      <c r="I32" s="656">
        <v>0</v>
      </c>
      <c r="J32" s="657">
        <v>0</v>
      </c>
      <c r="K32" s="656">
        <v>0</v>
      </c>
      <c r="L32" s="658">
        <v>0</v>
      </c>
      <c r="M32" s="656">
        <v>0</v>
      </c>
      <c r="N32" s="658">
        <v>0</v>
      </c>
      <c r="O32" s="464"/>
    </row>
    <row r="33" spans="1:1022 1025:7168 7171:8190 8193:14336 14339:15358 15361:16384" s="531" customFormat="1">
      <c r="A33"/>
      <c r="B33" t="s">
        <v>543</v>
      </c>
      <c r="C33" s="288">
        <f t="shared" si="0"/>
        <v>465</v>
      </c>
      <c r="D33" s="312">
        <f>+Tabelle54[[#This Row],[Number of Contracts]]/$C$50</f>
        <v>1.2420535285004541E-2</v>
      </c>
      <c r="E33" s="482">
        <f t="shared" si="1"/>
        <v>10513832.560000001</v>
      </c>
      <c r="F33" s="312">
        <f>+Tabelle54[[#This Row],[Outstanding Discounted Principal Balance]]/$E$50</f>
        <v>1.5721804453291761E-2</v>
      </c>
      <c r="G33" s="656">
        <v>458</v>
      </c>
      <c r="H33" s="657">
        <v>10328615.380000001</v>
      </c>
      <c r="I33" s="656">
        <v>7</v>
      </c>
      <c r="J33" s="657">
        <v>185217.18</v>
      </c>
      <c r="K33" s="656">
        <v>385</v>
      </c>
      <c r="L33" s="658">
        <v>8502971.8200000003</v>
      </c>
      <c r="M33" s="656">
        <v>80</v>
      </c>
      <c r="N33" s="658">
        <v>2010860.74</v>
      </c>
      <c r="O33" s="464"/>
    </row>
    <row r="34" spans="1:1022 1025:7168 7171:8190 8193:14336 14339:15358 15361:16384" s="531" customFormat="1">
      <c r="A34" s="290" t="s">
        <v>265</v>
      </c>
      <c r="B34" s="290" t="s">
        <v>192</v>
      </c>
      <c r="C34" s="291">
        <f t="shared" si="0"/>
        <v>32085</v>
      </c>
      <c r="D34" s="313">
        <f>+Tabelle54[[#This Row],[Number of Contracts]]/$C$50</f>
        <v>0.85701693466531337</v>
      </c>
      <c r="E34" s="462">
        <f t="shared" si="1"/>
        <v>565251849.60000002</v>
      </c>
      <c r="F34" s="313">
        <f>+Tabelle54[[#This Row],[Outstanding Discounted Principal Balance]]/$E$50</f>
        <v>0.84524639284085046</v>
      </c>
      <c r="G34" s="659">
        <f>SUBTOTAL(109,G10:G33)</f>
        <v>28060</v>
      </c>
      <c r="H34" s="660">
        <f t="shared" ref="H34:N34" si="4">SUBTOTAL(109,H10:H33)</f>
        <v>495578889.51999998</v>
      </c>
      <c r="I34" s="659">
        <f t="shared" si="4"/>
        <v>4025</v>
      </c>
      <c r="J34" s="660">
        <f t="shared" si="4"/>
        <v>69672960.079999998</v>
      </c>
      <c r="K34" s="661">
        <f t="shared" si="4"/>
        <v>28574</v>
      </c>
      <c r="L34" s="662">
        <f t="shared" si="4"/>
        <v>499693057.58999991</v>
      </c>
      <c r="M34" s="661">
        <f t="shared" si="4"/>
        <v>3511</v>
      </c>
      <c r="N34" s="508">
        <f t="shared" si="4"/>
        <v>65558792.00999999</v>
      </c>
      <c r="O34" s="464"/>
    </row>
    <row r="35" spans="1:1022 1025:7168 7171:8190 8193:14336 14339:15358 15361:16384" s="531" customFormat="1">
      <c r="A35" t="s">
        <v>43</v>
      </c>
      <c r="B35" t="s">
        <v>567</v>
      </c>
      <c r="C35" s="288">
        <f t="shared" si="0"/>
        <v>155</v>
      </c>
      <c r="D35" s="312">
        <f>+Tabelle54[[#This Row],[Number of Contracts]]/$C$50</f>
        <v>4.1401784283348472E-3</v>
      </c>
      <c r="E35" s="482">
        <f t="shared" si="1"/>
        <v>2876483.18</v>
      </c>
      <c r="F35" s="312">
        <f>+Tabelle54[[#This Row],[Outstanding Discounted Principal Balance]]/$E$50</f>
        <v>4.3013340578768782E-3</v>
      </c>
      <c r="G35" s="656">
        <v>135</v>
      </c>
      <c r="H35" s="657">
        <v>2429642.2200000002</v>
      </c>
      <c r="I35" s="656">
        <v>20</v>
      </c>
      <c r="J35" s="657">
        <v>446840.96</v>
      </c>
      <c r="K35" s="656">
        <v>134</v>
      </c>
      <c r="L35" s="658">
        <v>2557442.41</v>
      </c>
      <c r="M35" s="656">
        <v>21</v>
      </c>
      <c r="N35" s="658">
        <v>319040.77</v>
      </c>
      <c r="O35" s="464"/>
    </row>
    <row r="36" spans="1:1022 1025:7168 7171:8190 8193:14336 14339:15358 15361:16384" s="531" customFormat="1">
      <c r="A36"/>
      <c r="B36" t="s">
        <v>568</v>
      </c>
      <c r="C36" s="288">
        <f t="shared" si="0"/>
        <v>31</v>
      </c>
      <c r="D36" s="312">
        <f>+Tabelle54[[#This Row],[Number of Contracts]]/$C$50</f>
        <v>8.2803568566696935E-4</v>
      </c>
      <c r="E36" s="482">
        <f t="shared" si="1"/>
        <v>380097.06</v>
      </c>
      <c r="F36" s="312">
        <f>+Tabelle54[[#This Row],[Outstanding Discounted Principal Balance]]/$E$50</f>
        <v>5.6837614794496075E-4</v>
      </c>
      <c r="G36" s="656">
        <v>29</v>
      </c>
      <c r="H36" s="657">
        <v>311571.69</v>
      </c>
      <c r="I36" s="656">
        <v>2</v>
      </c>
      <c r="J36" s="657">
        <v>68525.37</v>
      </c>
      <c r="K36" s="656">
        <v>26</v>
      </c>
      <c r="L36" s="658">
        <v>327217.05</v>
      </c>
      <c r="M36" s="656">
        <v>5</v>
      </c>
      <c r="N36" s="658">
        <v>52880.01</v>
      </c>
      <c r="O36" s="464"/>
    </row>
    <row r="37" spans="1:1022 1025:7168 7171:8190 8193:14336 14339:15358 15361:16384" s="531" customFormat="1">
      <c r="A37" t="s">
        <v>192</v>
      </c>
      <c r="B37" t="s">
        <v>569</v>
      </c>
      <c r="C37" s="288">
        <f t="shared" si="0"/>
        <v>15</v>
      </c>
      <c r="D37" s="312">
        <f>+Tabelle54[[#This Row],[Number of Contracts]]/$C$50</f>
        <v>4.0066242854853355E-4</v>
      </c>
      <c r="E37" s="482">
        <f t="shared" si="1"/>
        <v>312744</v>
      </c>
      <c r="F37" s="312">
        <f>+Tabelle54[[#This Row],[Outstanding Discounted Principal Balance]]/$E$50</f>
        <v>4.6766010242988673E-4</v>
      </c>
      <c r="G37" s="656">
        <v>14</v>
      </c>
      <c r="H37" s="657">
        <v>293781.7</v>
      </c>
      <c r="I37" s="656">
        <v>1</v>
      </c>
      <c r="J37" s="657">
        <v>18962.3</v>
      </c>
      <c r="K37" s="656">
        <v>9</v>
      </c>
      <c r="L37" s="658">
        <v>142135.07999999999</v>
      </c>
      <c r="M37" s="656">
        <v>6</v>
      </c>
      <c r="N37" s="658">
        <v>170608.92</v>
      </c>
      <c r="O37" s="464"/>
    </row>
    <row r="38" spans="1:1022 1025:7168 7171:8190 8193:14336 14339:15358 15361:16384">
      <c r="A38" t="s">
        <v>192</v>
      </c>
      <c r="B38" s="94" t="s">
        <v>634</v>
      </c>
      <c r="C38" s="288">
        <f t="shared" si="0"/>
        <v>1</v>
      </c>
      <c r="D38" s="312">
        <f>+Tabelle54[[#This Row],[Number of Contracts]]/$C$50</f>
        <v>2.6710828569902237E-5</v>
      </c>
      <c r="E38" s="482">
        <f t="shared" si="1"/>
        <v>5999.62</v>
      </c>
      <c r="F38" s="312">
        <f>+Tabelle54[[#This Row],[Outstanding Discounted Principal Balance]]/$E$50</f>
        <v>8.9715003445002839E-6</v>
      </c>
      <c r="G38" s="656">
        <v>0</v>
      </c>
      <c r="H38" s="657">
        <v>0</v>
      </c>
      <c r="I38" s="656">
        <v>1</v>
      </c>
      <c r="J38" s="657">
        <v>5999.62</v>
      </c>
      <c r="K38" s="656">
        <v>0</v>
      </c>
      <c r="L38" s="658">
        <v>0</v>
      </c>
      <c r="M38" s="656">
        <v>1</v>
      </c>
      <c r="N38" s="658">
        <v>5999.62</v>
      </c>
      <c r="O38" s="464"/>
    </row>
    <row r="39" spans="1:1022 1025:7168 7171:8190 8193:14336 14339:15358 15361:16384">
      <c r="B39" t="s">
        <v>570</v>
      </c>
      <c r="C39" s="288">
        <f t="shared" si="0"/>
        <v>113</v>
      </c>
      <c r="D39" s="312">
        <f>+Tabelle54[[#This Row],[Number of Contracts]]/$C$50</f>
        <v>3.0183236283989529E-3</v>
      </c>
      <c r="E39" s="482">
        <f t="shared" si="1"/>
        <v>2118411.9500000002</v>
      </c>
      <c r="F39" s="312">
        <f>+Tabelle54[[#This Row],[Outstanding Discounted Principal Balance]]/$E$50</f>
        <v>3.1677562144300005E-3</v>
      </c>
      <c r="G39" s="656">
        <v>103</v>
      </c>
      <c r="H39" s="657">
        <v>1905980.23</v>
      </c>
      <c r="I39" s="656">
        <v>10</v>
      </c>
      <c r="J39" s="657">
        <v>212431.72</v>
      </c>
      <c r="K39" s="656">
        <v>95</v>
      </c>
      <c r="L39" s="658">
        <v>1713604.49</v>
      </c>
      <c r="M39" s="656">
        <v>18</v>
      </c>
      <c r="N39" s="658">
        <v>404807.46</v>
      </c>
      <c r="O39" s="464"/>
    </row>
    <row r="40" spans="1:1022 1025:7168 7171:8190 8193:14336 14339:15358 15361:16384">
      <c r="B40" t="s">
        <v>599</v>
      </c>
      <c r="C40" s="288">
        <f t="shared" si="0"/>
        <v>20</v>
      </c>
      <c r="D40" s="312">
        <f>+Tabelle54[[#This Row],[Number of Contracts]]/$C$50</f>
        <v>5.3421657139804477E-4</v>
      </c>
      <c r="E40" s="482">
        <f t="shared" si="1"/>
        <v>507264.58999999997</v>
      </c>
      <c r="F40" s="312">
        <f>+Tabelle54[[#This Row],[Outstanding Discounted Principal Balance]]/$E$50</f>
        <v>7.5853544790133295E-4</v>
      </c>
      <c r="G40" s="656">
        <v>16</v>
      </c>
      <c r="H40" s="657">
        <v>451010</v>
      </c>
      <c r="I40" s="656">
        <v>4</v>
      </c>
      <c r="J40" s="657">
        <v>56254.59</v>
      </c>
      <c r="K40" s="656">
        <v>16</v>
      </c>
      <c r="L40" s="658">
        <v>427299.37</v>
      </c>
      <c r="M40" s="656">
        <v>4</v>
      </c>
      <c r="N40" s="658">
        <v>79965.22</v>
      </c>
      <c r="O40" s="464"/>
    </row>
    <row r="41" spans="1:1022 1025:7168 7171:8190 8193:14336 14339:15358 15361:16384">
      <c r="B41" t="s">
        <v>600</v>
      </c>
      <c r="C41" s="288">
        <f>+G41+I41</f>
        <v>0</v>
      </c>
      <c r="D41" s="312">
        <f>+Tabelle54[[#This Row],[Number of Contracts]]/$C$50</f>
        <v>0</v>
      </c>
      <c r="E41" s="482">
        <f>+H41+J41</f>
        <v>0</v>
      </c>
      <c r="F41" s="312">
        <f>+Tabelle54[[#This Row],[Outstanding Discounted Principal Balance]]/$E$50</f>
        <v>0</v>
      </c>
      <c r="G41" s="656">
        <v>0</v>
      </c>
      <c r="H41" s="657">
        <v>0</v>
      </c>
      <c r="I41" s="656">
        <v>0</v>
      </c>
      <c r="J41" s="657">
        <v>0</v>
      </c>
      <c r="K41" s="656">
        <v>0</v>
      </c>
      <c r="L41" s="658">
        <v>0</v>
      </c>
      <c r="M41" s="656">
        <v>0</v>
      </c>
      <c r="N41" s="658">
        <v>0</v>
      </c>
      <c r="O41" s="464"/>
    </row>
    <row r="42" spans="1:1022 1025:7168 7171:8190 8193:14336 14339:15358 15361:16384">
      <c r="B42" t="s">
        <v>602</v>
      </c>
      <c r="C42" s="288">
        <f>+G42+I42</f>
        <v>0</v>
      </c>
      <c r="D42" s="312">
        <f>+Tabelle54[[#This Row],[Number of Contracts]]/$C$50</f>
        <v>0</v>
      </c>
      <c r="E42" s="482">
        <f>+H42+J42</f>
        <v>0</v>
      </c>
      <c r="F42" s="312">
        <f>+Tabelle54[[#This Row],[Outstanding Discounted Principal Balance]]/$E$50</f>
        <v>0</v>
      </c>
      <c r="G42" s="656">
        <v>0</v>
      </c>
      <c r="H42" s="657">
        <v>0</v>
      </c>
      <c r="I42" s="656">
        <v>0</v>
      </c>
      <c r="J42" s="657">
        <v>0</v>
      </c>
      <c r="K42" s="656">
        <v>0</v>
      </c>
      <c r="L42" s="658">
        <v>0</v>
      </c>
      <c r="M42" s="656">
        <v>0</v>
      </c>
      <c r="N42" s="658">
        <v>0</v>
      </c>
      <c r="O42" s="464"/>
    </row>
    <row r="43" spans="1:1022 1025:7168 7171:8190 8193:14336 14339:15358 15361:16384">
      <c r="B43" t="s">
        <v>601</v>
      </c>
      <c r="C43" s="288">
        <f>+G43+I43</f>
        <v>3</v>
      </c>
      <c r="D43" s="312">
        <f>+Tabelle54[[#This Row],[Number of Contracts]]/$C$50</f>
        <v>8.0132485709706719E-5</v>
      </c>
      <c r="E43" s="482">
        <f>+H43+J43</f>
        <v>96228.82</v>
      </c>
      <c r="F43" s="312">
        <f>+Tabelle54[[#This Row],[Outstanding Discounted Principal Balance]]/$E$50</f>
        <v>1.4389526199673578E-4</v>
      </c>
      <c r="G43" s="656">
        <v>3</v>
      </c>
      <c r="H43" s="657">
        <v>96228.82</v>
      </c>
      <c r="I43" s="656">
        <v>0</v>
      </c>
      <c r="J43" s="657">
        <v>0</v>
      </c>
      <c r="K43" s="656">
        <v>2</v>
      </c>
      <c r="L43" s="658">
        <v>45826.69</v>
      </c>
      <c r="M43" s="656">
        <v>1</v>
      </c>
      <c r="N43" s="658">
        <v>50402.13</v>
      </c>
      <c r="O43" s="464"/>
    </row>
    <row r="44" spans="1:1022 1025:7168 7171:8190 8193:14336 14339:15358 15361:16384">
      <c r="A44" t="s">
        <v>192</v>
      </c>
      <c r="B44" t="s">
        <v>632</v>
      </c>
      <c r="C44" s="288">
        <f>+G43+I43</f>
        <v>3</v>
      </c>
      <c r="D44" s="312">
        <f>+Tabelle54[[#This Row],[Number of Contracts]]/$C$50</f>
        <v>8.0132485709706719E-5</v>
      </c>
      <c r="E44" s="482">
        <f>+H44+J44</f>
        <v>0</v>
      </c>
      <c r="F44" s="312">
        <f>+Tabelle54[[#This Row],[Outstanding Discounted Principal Balance]]/$E$50</f>
        <v>0</v>
      </c>
      <c r="G44" s="656">
        <v>0</v>
      </c>
      <c r="H44" s="657">
        <v>0</v>
      </c>
      <c r="I44" s="656">
        <v>0</v>
      </c>
      <c r="J44" s="657">
        <v>0</v>
      </c>
      <c r="K44" s="656">
        <v>0</v>
      </c>
      <c r="L44" s="658">
        <v>0</v>
      </c>
      <c r="M44" s="656">
        <v>0</v>
      </c>
      <c r="N44" s="658">
        <v>0</v>
      </c>
      <c r="O44" s="464"/>
    </row>
    <row r="45" spans="1:1022 1025:7168 7171:8190 8193:14336 14339:15358 15361:16384">
      <c r="B45" t="s">
        <v>633</v>
      </c>
      <c r="C45" s="288">
        <f t="shared" ref="C45:C50" si="5">+G45+I45</f>
        <v>0</v>
      </c>
      <c r="D45" s="312">
        <f>+Tabelle54[[#This Row],[Number of Contracts]]/$C$50</f>
        <v>0</v>
      </c>
      <c r="E45" s="482">
        <f t="shared" ref="E45:E50" si="6">+H45+J45</f>
        <v>0</v>
      </c>
      <c r="F45" s="312">
        <f>+Tabelle54[[#This Row],[Outstanding Discounted Principal Balance]]/$E$50</f>
        <v>0</v>
      </c>
      <c r="G45" s="656">
        <v>0</v>
      </c>
      <c r="H45" s="657">
        <v>0</v>
      </c>
      <c r="I45" s="656">
        <v>0</v>
      </c>
      <c r="J45" s="657">
        <v>0</v>
      </c>
      <c r="K45" s="656">
        <v>0</v>
      </c>
      <c r="L45" s="658">
        <v>0</v>
      </c>
      <c r="M45" s="656">
        <v>0</v>
      </c>
      <c r="N45" s="658">
        <v>0</v>
      </c>
      <c r="Q45" s="288"/>
      <c r="R45" s="312"/>
      <c r="S45" s="482"/>
      <c r="T45" s="312"/>
      <c r="U45" s="656"/>
      <c r="V45" s="657"/>
      <c r="W45" s="656"/>
      <c r="X45" s="657"/>
      <c r="Y45" s="656"/>
      <c r="Z45" s="658"/>
      <c r="AA45" s="656"/>
      <c r="AB45" s="658"/>
      <c r="AE45" s="288"/>
      <c r="AF45" s="312"/>
      <c r="AG45" s="482"/>
      <c r="AH45" s="312"/>
      <c r="AI45" s="656"/>
      <c r="AJ45" s="657"/>
      <c r="AK45" s="656"/>
      <c r="AL45" s="657"/>
      <c r="AM45" s="656"/>
      <c r="AN45" s="658"/>
      <c r="AO45" s="656"/>
      <c r="AP45" s="658"/>
      <c r="AS45" s="288"/>
      <c r="AT45" s="312"/>
      <c r="AU45" s="482"/>
      <c r="AV45" s="312"/>
      <c r="AW45" s="656"/>
      <c r="AX45" s="657"/>
      <c r="AY45" s="656"/>
      <c r="AZ45" s="657"/>
      <c r="BA45" s="656"/>
      <c r="BB45" s="658"/>
      <c r="BC45" s="656"/>
      <c r="BD45" s="658"/>
      <c r="BG45" s="288"/>
      <c r="BH45" s="312"/>
      <c r="BI45" s="482"/>
      <c r="BJ45" s="312"/>
      <c r="BK45" s="656"/>
      <c r="BL45" s="657"/>
      <c r="BM45" s="656"/>
      <c r="BN45" s="657"/>
      <c r="BO45" s="656"/>
      <c r="BP45" s="658"/>
      <c r="BQ45" s="656"/>
      <c r="BR45" s="658"/>
      <c r="BU45" s="288"/>
      <c r="BV45" s="312"/>
      <c r="BW45" s="482"/>
      <c r="BX45" s="312"/>
      <c r="BY45" s="656"/>
      <c r="BZ45" s="657"/>
      <c r="CA45" s="656"/>
      <c r="CB45" s="657"/>
      <c r="CC45" s="656"/>
      <c r="CD45" s="658"/>
      <c r="CE45" s="656"/>
      <c r="CF45" s="658"/>
      <c r="CI45" s="288"/>
      <c r="CJ45" s="312"/>
      <c r="CK45" s="482"/>
      <c r="CL45" s="312"/>
      <c r="CM45" s="656"/>
      <c r="CN45" s="657"/>
      <c r="CO45" s="656"/>
      <c r="CP45" s="657"/>
      <c r="CQ45" s="656"/>
      <c r="CR45" s="658"/>
      <c r="CS45" s="656"/>
      <c r="CT45" s="658"/>
      <c r="CW45" s="288"/>
      <c r="CX45" s="312"/>
      <c r="CY45" s="482"/>
      <c r="CZ45" s="312"/>
      <c r="DA45" s="656"/>
      <c r="DB45" s="657"/>
      <c r="DC45" s="656"/>
      <c r="DD45" s="657"/>
      <c r="DE45" s="656"/>
      <c r="DF45" s="658"/>
      <c r="DG45" s="656"/>
      <c r="DH45" s="658"/>
      <c r="DK45" s="288"/>
      <c r="DL45" s="312"/>
      <c r="DM45" s="482"/>
      <c r="DN45" s="312"/>
      <c r="DO45" s="656"/>
      <c r="DP45" s="657"/>
      <c r="DQ45" s="656"/>
      <c r="DR45" s="657"/>
      <c r="DS45" s="656"/>
      <c r="DT45" s="658"/>
      <c r="DU45" s="656"/>
      <c r="DV45" s="658"/>
      <c r="DY45" s="288"/>
      <c r="DZ45" s="312"/>
      <c r="EA45" s="482"/>
      <c r="EB45" s="312"/>
      <c r="EC45" s="656"/>
      <c r="ED45" s="657"/>
      <c r="EE45" s="656"/>
      <c r="EF45" s="657"/>
      <c r="EG45" s="656"/>
      <c r="EH45" s="658"/>
      <c r="EI45" s="656"/>
      <c r="EJ45" s="658"/>
      <c r="EM45" s="288"/>
      <c r="EN45" s="312"/>
      <c r="EO45" s="482"/>
      <c r="EP45" s="312"/>
      <c r="EQ45" s="656"/>
      <c r="ER45" s="657"/>
      <c r="ES45" s="656"/>
      <c r="ET45" s="657"/>
      <c r="EU45" s="656"/>
      <c r="EV45" s="658"/>
      <c r="EW45" s="656"/>
      <c r="EX45" s="658"/>
      <c r="FA45" s="288"/>
      <c r="FB45" s="312"/>
      <c r="FC45" s="482"/>
      <c r="FD45" s="312"/>
      <c r="FE45" s="656"/>
      <c r="FF45" s="657"/>
      <c r="FG45" s="656"/>
      <c r="FH45" s="657"/>
      <c r="FI45" s="656"/>
      <c r="FJ45" s="658"/>
      <c r="FK45" s="656"/>
      <c r="FL45" s="658"/>
      <c r="FO45" s="288"/>
      <c r="FP45" s="312"/>
      <c r="FQ45" s="482"/>
      <c r="FR45" s="312"/>
      <c r="FS45" s="656"/>
      <c r="FT45" s="657"/>
      <c r="FU45" s="656"/>
      <c r="FV45" s="657"/>
      <c r="FW45" s="656"/>
      <c r="FX45" s="658"/>
      <c r="FY45" s="656"/>
      <c r="FZ45" s="658"/>
      <c r="GC45" s="288"/>
      <c r="GD45" s="312"/>
      <c r="GE45" s="482"/>
      <c r="GF45" s="312"/>
      <c r="GG45" s="656"/>
      <c r="GH45" s="657"/>
      <c r="GI45" s="656"/>
      <c r="GJ45" s="657"/>
      <c r="GK45" s="656"/>
      <c r="GL45" s="658"/>
      <c r="GM45" s="656"/>
      <c r="GN45" s="658"/>
      <c r="GQ45" s="288"/>
      <c r="GR45" s="312"/>
      <c r="GS45" s="482"/>
      <c r="GT45" s="312"/>
      <c r="GU45" s="656"/>
      <c r="GV45" s="657"/>
      <c r="GW45" s="656"/>
      <c r="GX45" s="657"/>
      <c r="GY45" s="656"/>
      <c r="GZ45" s="658"/>
      <c r="HA45" s="656"/>
      <c r="HB45" s="658"/>
      <c r="HE45" s="288"/>
      <c r="HF45" s="312"/>
      <c r="HG45" s="482"/>
      <c r="HH45" s="312"/>
      <c r="HI45" s="656"/>
      <c r="HJ45" s="657"/>
      <c r="HK45" s="656"/>
      <c r="HL45" s="657"/>
      <c r="HM45" s="656"/>
      <c r="HN45" s="658"/>
      <c r="HO45" s="656"/>
      <c r="HP45" s="658"/>
      <c r="HS45" s="288"/>
      <c r="HT45" s="312"/>
      <c r="HU45" s="482"/>
      <c r="HV45" s="312"/>
      <c r="HW45" s="656"/>
      <c r="HX45" s="657"/>
      <c r="HY45" s="656"/>
      <c r="HZ45" s="657"/>
      <c r="IA45" s="656"/>
      <c r="IB45" s="658"/>
      <c r="IC45" s="656"/>
      <c r="ID45" s="658"/>
      <c r="IG45" s="288"/>
      <c r="IH45" s="312"/>
      <c r="II45" s="482"/>
      <c r="IJ45" s="312"/>
      <c r="IK45" s="656"/>
      <c r="IL45" s="657"/>
      <c r="IM45" s="656"/>
      <c r="IN45" s="657"/>
      <c r="IO45" s="656"/>
      <c r="IP45" s="658"/>
      <c r="IQ45" s="656"/>
      <c r="IR45" s="658"/>
      <c r="IU45" s="288"/>
      <c r="IV45" s="312"/>
      <c r="IW45" s="482"/>
      <c r="IX45" s="312"/>
      <c r="IY45" s="656"/>
      <c r="IZ45" s="657"/>
      <c r="JA45" s="656"/>
      <c r="JB45" s="657"/>
      <c r="JC45" s="656"/>
      <c r="JD45" s="658"/>
      <c r="JE45" s="656"/>
      <c r="JF45" s="658"/>
      <c r="JI45" s="288"/>
      <c r="JJ45" s="312"/>
      <c r="JK45" s="482"/>
      <c r="JL45" s="312"/>
      <c r="JM45" s="656"/>
      <c r="JN45" s="657"/>
      <c r="JO45" s="656"/>
      <c r="JP45" s="657"/>
      <c r="JQ45" s="656"/>
      <c r="JR45" s="658"/>
      <c r="JS45" s="656"/>
      <c r="JT45" s="658"/>
      <c r="JW45" s="288"/>
      <c r="JX45" s="312"/>
      <c r="JY45" s="482"/>
      <c r="JZ45" s="312"/>
      <c r="KA45" s="656"/>
      <c r="KB45" s="657"/>
      <c r="KC45" s="656"/>
      <c r="KD45" s="657"/>
      <c r="KE45" s="656"/>
      <c r="KF45" s="658"/>
      <c r="KG45" s="656"/>
      <c r="KH45" s="658"/>
      <c r="KK45" s="288"/>
      <c r="KL45" s="312"/>
      <c r="KM45" s="482"/>
      <c r="KN45" s="312"/>
      <c r="KO45" s="656"/>
      <c r="KP45" s="657"/>
      <c r="KQ45" s="656"/>
      <c r="KR45" s="657"/>
      <c r="KS45" s="656"/>
      <c r="KT45" s="658"/>
      <c r="KU45" s="656"/>
      <c r="KV45" s="658"/>
      <c r="KY45" s="288"/>
      <c r="KZ45" s="312"/>
      <c r="LA45" s="482"/>
      <c r="LB45" s="312"/>
      <c r="LC45" s="656"/>
      <c r="LD45" s="657"/>
      <c r="LE45" s="656"/>
      <c r="LF45" s="657"/>
      <c r="LG45" s="656"/>
      <c r="LH45" s="658"/>
      <c r="LI45" s="656"/>
      <c r="LJ45" s="658"/>
      <c r="LM45" s="288"/>
      <c r="LN45" s="312"/>
      <c r="LO45" s="482"/>
      <c r="LP45" s="312"/>
      <c r="LQ45" s="656"/>
      <c r="LR45" s="657"/>
      <c r="LS45" s="656"/>
      <c r="LT45" s="657"/>
      <c r="LU45" s="656"/>
      <c r="LV45" s="658"/>
      <c r="LW45" s="656"/>
      <c r="LX45" s="658"/>
      <c r="MA45" s="288"/>
      <c r="MB45" s="312"/>
      <c r="MC45" s="482"/>
      <c r="MD45" s="312"/>
      <c r="ME45" s="656"/>
      <c r="MF45" s="657"/>
      <c r="MG45" s="656"/>
      <c r="MH45" s="657"/>
      <c r="MI45" s="656"/>
      <c r="MJ45" s="658"/>
      <c r="MK45" s="656"/>
      <c r="ML45" s="658"/>
      <c r="MO45" s="288"/>
      <c r="MP45" s="312"/>
      <c r="MQ45" s="482"/>
      <c r="MR45" s="312"/>
      <c r="MS45" s="656"/>
      <c r="MT45" s="657"/>
      <c r="MU45" s="656"/>
      <c r="MV45" s="657"/>
      <c r="MW45" s="656"/>
      <c r="MX45" s="658"/>
      <c r="MY45" s="656"/>
      <c r="MZ45" s="658"/>
      <c r="NC45" s="288"/>
      <c r="ND45" s="312"/>
      <c r="NE45" s="482"/>
      <c r="NF45" s="312"/>
      <c r="NG45" s="656"/>
      <c r="NH45" s="657"/>
      <c r="NI45" s="656"/>
      <c r="NJ45" s="657"/>
      <c r="NK45" s="656"/>
      <c r="NL45" s="658"/>
      <c r="NM45" s="656"/>
      <c r="NN45" s="658"/>
      <c r="NQ45" s="288"/>
      <c r="NR45" s="312"/>
      <c r="NS45" s="482"/>
      <c r="NT45" s="312"/>
      <c r="NU45" s="656"/>
      <c r="NV45" s="657"/>
      <c r="NW45" s="656"/>
      <c r="NX45" s="657"/>
      <c r="NY45" s="656"/>
      <c r="NZ45" s="658"/>
      <c r="OA45" s="656"/>
      <c r="OB45" s="658"/>
      <c r="OE45" s="288"/>
      <c r="OF45" s="312"/>
      <c r="OG45" s="482"/>
      <c r="OH45" s="312"/>
      <c r="OI45" s="656"/>
      <c r="OJ45" s="657"/>
      <c r="OK45" s="656"/>
      <c r="OL45" s="657"/>
      <c r="OM45" s="656"/>
      <c r="ON45" s="658"/>
      <c r="OO45" s="656"/>
      <c r="OP45" s="658"/>
      <c r="OS45" s="288"/>
      <c r="OT45" s="312"/>
      <c r="OU45" s="482"/>
      <c r="OV45" s="312"/>
      <c r="OW45" s="656"/>
      <c r="OX45" s="657"/>
      <c r="OY45" s="656"/>
      <c r="OZ45" s="657"/>
      <c r="PA45" s="656"/>
      <c r="PB45" s="658"/>
      <c r="PC45" s="656"/>
      <c r="PD45" s="658"/>
      <c r="PG45" s="288"/>
      <c r="PH45" s="312"/>
      <c r="PI45" s="482"/>
      <c r="PJ45" s="312"/>
      <c r="PK45" s="656"/>
      <c r="PL45" s="657"/>
      <c r="PM45" s="656"/>
      <c r="PN45" s="657"/>
      <c r="PO45" s="656"/>
      <c r="PP45" s="658"/>
      <c r="PQ45" s="656"/>
      <c r="PR45" s="658"/>
      <c r="PU45" s="288"/>
      <c r="PV45" s="312"/>
      <c r="PW45" s="482"/>
      <c r="PX45" s="312"/>
      <c r="PY45" s="656"/>
      <c r="PZ45" s="657"/>
      <c r="QA45" s="656"/>
      <c r="QB45" s="657"/>
      <c r="QC45" s="656"/>
      <c r="QD45" s="658"/>
      <c r="QE45" s="656"/>
      <c r="QF45" s="658"/>
      <c r="QI45" s="288"/>
      <c r="QJ45" s="312"/>
      <c r="QK45" s="482"/>
      <c r="QL45" s="312"/>
      <c r="QM45" s="656"/>
      <c r="QN45" s="657"/>
      <c r="QO45" s="656"/>
      <c r="QP45" s="657"/>
      <c r="QQ45" s="656"/>
      <c r="QR45" s="658"/>
      <c r="QS45" s="656"/>
      <c r="QT45" s="658"/>
      <c r="QW45" s="288"/>
      <c r="QX45" s="312"/>
      <c r="QY45" s="482"/>
      <c r="QZ45" s="312"/>
      <c r="RA45" s="656"/>
      <c r="RB45" s="657"/>
      <c r="RC45" s="656"/>
      <c r="RD45" s="657"/>
      <c r="RE45" s="656"/>
      <c r="RF45" s="658"/>
      <c r="RG45" s="656"/>
      <c r="RH45" s="658"/>
      <c r="RK45" s="288"/>
      <c r="RL45" s="312"/>
      <c r="RM45" s="482"/>
      <c r="RN45" s="312"/>
      <c r="RO45" s="656"/>
      <c r="RP45" s="657"/>
      <c r="RQ45" s="656"/>
      <c r="RR45" s="657"/>
      <c r="RS45" s="656"/>
      <c r="RT45" s="658"/>
      <c r="RU45" s="656"/>
      <c r="RV45" s="658"/>
      <c r="RY45" s="288"/>
      <c r="RZ45" s="312"/>
      <c r="SA45" s="482"/>
      <c r="SB45" s="312"/>
      <c r="SC45" s="656"/>
      <c r="SD45" s="657"/>
      <c r="SE45" s="656"/>
      <c r="SF45" s="657"/>
      <c r="SG45" s="656"/>
      <c r="SH45" s="658"/>
      <c r="SI45" s="656"/>
      <c r="SJ45" s="658"/>
      <c r="SM45" s="288"/>
      <c r="SN45" s="312"/>
      <c r="SO45" s="482"/>
      <c r="SP45" s="312"/>
      <c r="SQ45" s="656"/>
      <c r="SR45" s="657"/>
      <c r="SS45" s="656"/>
      <c r="ST45" s="657"/>
      <c r="SU45" s="656"/>
      <c r="SV45" s="658"/>
      <c r="SW45" s="656"/>
      <c r="SX45" s="658"/>
      <c r="TA45" s="288"/>
      <c r="TB45" s="312"/>
      <c r="TC45" s="482"/>
      <c r="TD45" s="312"/>
      <c r="TE45" s="656"/>
      <c r="TF45" s="657"/>
      <c r="TG45" s="656"/>
      <c r="TH45" s="657"/>
      <c r="TI45" s="656"/>
      <c r="TJ45" s="658"/>
      <c r="TK45" s="656"/>
      <c r="TL45" s="658"/>
      <c r="TO45" s="288"/>
      <c r="TP45" s="312"/>
      <c r="TQ45" s="482"/>
      <c r="TR45" s="312"/>
      <c r="TS45" s="656"/>
      <c r="TT45" s="657"/>
      <c r="TU45" s="656"/>
      <c r="TV45" s="657"/>
      <c r="TW45" s="656"/>
      <c r="TX45" s="658"/>
      <c r="TY45" s="656"/>
      <c r="TZ45" s="658"/>
      <c r="UC45" s="288"/>
      <c r="UD45" s="312"/>
      <c r="UE45" s="482"/>
      <c r="UF45" s="312"/>
      <c r="UG45" s="656"/>
      <c r="UH45" s="657"/>
      <c r="UI45" s="656"/>
      <c r="UJ45" s="657"/>
      <c r="UK45" s="656"/>
      <c r="UL45" s="658"/>
      <c r="UM45" s="656"/>
      <c r="UN45" s="658"/>
      <c r="UQ45" s="288"/>
      <c r="UR45" s="312"/>
      <c r="US45" s="482"/>
      <c r="UT45" s="312"/>
      <c r="UU45" s="656"/>
      <c r="UV45" s="657"/>
      <c r="UW45" s="656"/>
      <c r="UX45" s="657"/>
      <c r="UY45" s="656"/>
      <c r="UZ45" s="658"/>
      <c r="VA45" s="656"/>
      <c r="VB45" s="658"/>
      <c r="VE45" s="288"/>
      <c r="VF45" s="312"/>
      <c r="VG45" s="482"/>
      <c r="VH45" s="312"/>
      <c r="VI45" s="656"/>
      <c r="VJ45" s="657"/>
      <c r="VK45" s="656"/>
      <c r="VL45" s="657"/>
      <c r="VM45" s="656"/>
      <c r="VN45" s="658"/>
      <c r="VO45" s="656"/>
      <c r="VP45" s="658"/>
      <c r="VS45" s="288"/>
      <c r="VT45" s="312"/>
      <c r="VU45" s="482"/>
      <c r="VV45" s="312"/>
      <c r="VW45" s="656"/>
      <c r="VX45" s="657"/>
      <c r="VY45" s="656"/>
      <c r="VZ45" s="657"/>
      <c r="WA45" s="656"/>
      <c r="WB45" s="658"/>
      <c r="WC45" s="656"/>
      <c r="WD45" s="658"/>
      <c r="WG45" s="288"/>
      <c r="WH45" s="312"/>
      <c r="WI45" s="482"/>
      <c r="WJ45" s="312"/>
      <c r="WK45" s="656"/>
      <c r="WL45" s="657"/>
      <c r="WM45" s="656"/>
      <c r="WN45" s="657"/>
      <c r="WO45" s="656"/>
      <c r="WP45" s="658"/>
      <c r="WQ45" s="656"/>
      <c r="WR45" s="658"/>
      <c r="WU45" s="288"/>
      <c r="WV45" s="312"/>
      <c r="WW45" s="482"/>
      <c r="WX45" s="312"/>
      <c r="WY45" s="656"/>
      <c r="WZ45" s="657"/>
      <c r="XA45" s="656"/>
      <c r="XB45" s="657"/>
      <c r="XC45" s="656"/>
      <c r="XD45" s="658"/>
      <c r="XE45" s="656"/>
      <c r="XF45" s="658"/>
      <c r="XI45" s="288"/>
      <c r="XJ45" s="312"/>
      <c r="XK45" s="482"/>
      <c r="XL45" s="312"/>
      <c r="XM45" s="656"/>
      <c r="XN45" s="657"/>
      <c r="XO45" s="656"/>
      <c r="XP45" s="657"/>
      <c r="XQ45" s="656"/>
      <c r="XR45" s="658"/>
      <c r="XS45" s="656"/>
      <c r="XT45" s="658"/>
      <c r="XW45" s="288"/>
      <c r="XX45" s="312"/>
      <c r="XY45" s="482"/>
      <c r="XZ45" s="312"/>
      <c r="YA45" s="656"/>
      <c r="YB45" s="657"/>
      <c r="YC45" s="656"/>
      <c r="YD45" s="657"/>
      <c r="YE45" s="656"/>
      <c r="YF45" s="658"/>
      <c r="YG45" s="656"/>
      <c r="YH45" s="658"/>
      <c r="YK45" s="288"/>
      <c r="YL45" s="312"/>
      <c r="YM45" s="482"/>
      <c r="YN45" s="312"/>
      <c r="YO45" s="656"/>
      <c r="YP45" s="657"/>
      <c r="YQ45" s="656"/>
      <c r="YR45" s="657"/>
      <c r="YS45" s="656"/>
      <c r="YT45" s="658"/>
      <c r="YU45" s="656"/>
      <c r="YV45" s="658"/>
      <c r="YY45" s="288"/>
      <c r="YZ45" s="312"/>
      <c r="ZA45" s="482"/>
      <c r="ZB45" s="312"/>
      <c r="ZC45" s="656"/>
      <c r="ZD45" s="657"/>
      <c r="ZE45" s="656"/>
      <c r="ZF45" s="657"/>
      <c r="ZG45" s="656"/>
      <c r="ZH45" s="658"/>
      <c r="ZI45" s="656"/>
      <c r="ZJ45" s="658"/>
      <c r="ZM45" s="288"/>
      <c r="ZN45" s="312"/>
      <c r="ZO45" s="482"/>
      <c r="ZP45" s="312"/>
      <c r="ZQ45" s="656"/>
      <c r="ZR45" s="657"/>
      <c r="ZS45" s="656"/>
      <c r="ZT45" s="657"/>
      <c r="ZU45" s="656"/>
      <c r="ZV45" s="658"/>
      <c r="ZW45" s="656"/>
      <c r="ZX45" s="658"/>
      <c r="AAA45" s="288"/>
      <c r="AAB45" s="312"/>
      <c r="AAC45" s="482"/>
      <c r="AAD45" s="312"/>
      <c r="AAE45" s="656"/>
      <c r="AAF45" s="657"/>
      <c r="AAG45" s="656"/>
      <c r="AAH45" s="657"/>
      <c r="AAI45" s="656"/>
      <c r="AAJ45" s="658"/>
      <c r="AAK45" s="656"/>
      <c r="AAL45" s="658"/>
      <c r="AAO45" s="288"/>
      <c r="AAP45" s="312"/>
      <c r="AAQ45" s="482"/>
      <c r="AAR45" s="312"/>
      <c r="AAS45" s="656"/>
      <c r="AAT45" s="657"/>
      <c r="AAU45" s="656"/>
      <c r="AAV45" s="657"/>
      <c r="AAW45" s="656"/>
      <c r="AAX45" s="658"/>
      <c r="AAY45" s="656"/>
      <c r="AAZ45" s="658"/>
      <c r="ABC45" s="288"/>
      <c r="ABD45" s="312"/>
      <c r="ABE45" s="482"/>
      <c r="ABF45" s="312"/>
      <c r="ABG45" s="656"/>
      <c r="ABH45" s="657"/>
      <c r="ABI45" s="656"/>
      <c r="ABJ45" s="657"/>
      <c r="ABK45" s="656"/>
      <c r="ABL45" s="658"/>
      <c r="ABM45" s="656"/>
      <c r="ABN45" s="658"/>
      <c r="ABQ45" s="288"/>
      <c r="ABR45" s="312"/>
      <c r="ABS45" s="482"/>
      <c r="ABT45" s="312"/>
      <c r="ABU45" s="656"/>
      <c r="ABV45" s="657"/>
      <c r="ABW45" s="656"/>
      <c r="ABX45" s="657"/>
      <c r="ABY45" s="656"/>
      <c r="ABZ45" s="658"/>
      <c r="ACA45" s="656"/>
      <c r="ACB45" s="658"/>
      <c r="ACE45" s="288"/>
      <c r="ACF45" s="312"/>
      <c r="ACG45" s="482"/>
      <c r="ACH45" s="312"/>
      <c r="ACI45" s="656"/>
      <c r="ACJ45" s="657"/>
      <c r="ACK45" s="656"/>
      <c r="ACL45" s="657"/>
      <c r="ACM45" s="656"/>
      <c r="ACN45" s="658"/>
      <c r="ACO45" s="656"/>
      <c r="ACP45" s="658"/>
      <c r="ACS45" s="288"/>
      <c r="ACT45" s="312"/>
      <c r="ACU45" s="482"/>
      <c r="ACV45" s="312"/>
      <c r="ACW45" s="656"/>
      <c r="ACX45" s="657"/>
      <c r="ACY45" s="656"/>
      <c r="ACZ45" s="657"/>
      <c r="ADA45" s="656"/>
      <c r="ADB45" s="658"/>
      <c r="ADC45" s="656"/>
      <c r="ADD45" s="658"/>
      <c r="ADG45" s="288"/>
      <c r="ADH45" s="312"/>
      <c r="ADI45" s="482"/>
      <c r="ADJ45" s="312"/>
      <c r="ADK45" s="656"/>
      <c r="ADL45" s="657"/>
      <c r="ADM45" s="656"/>
      <c r="ADN45" s="657"/>
      <c r="ADO45" s="656"/>
      <c r="ADP45" s="658"/>
      <c r="ADQ45" s="656"/>
      <c r="ADR45" s="658"/>
      <c r="ADU45" s="288"/>
      <c r="ADV45" s="312"/>
      <c r="ADW45" s="482"/>
      <c r="ADX45" s="312"/>
      <c r="ADY45" s="656"/>
      <c r="ADZ45" s="657"/>
      <c r="AEA45" s="656"/>
      <c r="AEB45" s="657"/>
      <c r="AEC45" s="656"/>
      <c r="AED45" s="658"/>
      <c r="AEE45" s="656"/>
      <c r="AEF45" s="658"/>
      <c r="AEI45" s="288"/>
      <c r="AEJ45" s="312"/>
      <c r="AEK45" s="482"/>
      <c r="AEL45" s="312"/>
      <c r="AEM45" s="656"/>
      <c r="AEN45" s="657"/>
      <c r="AEO45" s="656"/>
      <c r="AEP45" s="657"/>
      <c r="AEQ45" s="656"/>
      <c r="AER45" s="658"/>
      <c r="AES45" s="656"/>
      <c r="AET45" s="658"/>
      <c r="AEW45" s="288"/>
      <c r="AEX45" s="312"/>
      <c r="AEY45" s="482"/>
      <c r="AEZ45" s="312"/>
      <c r="AFA45" s="656"/>
      <c r="AFB45" s="657"/>
      <c r="AFC45" s="656"/>
      <c r="AFD45" s="657"/>
      <c r="AFE45" s="656"/>
      <c r="AFF45" s="658"/>
      <c r="AFG45" s="656"/>
      <c r="AFH45" s="658"/>
      <c r="AFK45" s="288"/>
      <c r="AFL45" s="312"/>
      <c r="AFM45" s="482"/>
      <c r="AFN45" s="312"/>
      <c r="AFO45" s="656"/>
      <c r="AFP45" s="657"/>
      <c r="AFQ45" s="656"/>
      <c r="AFR45" s="657"/>
      <c r="AFS45" s="656"/>
      <c r="AFT45" s="658"/>
      <c r="AFU45" s="656"/>
      <c r="AFV45" s="658"/>
      <c r="AFY45" s="288"/>
      <c r="AFZ45" s="312"/>
      <c r="AGA45" s="482"/>
      <c r="AGB45" s="312"/>
      <c r="AGC45" s="656"/>
      <c r="AGD45" s="657"/>
      <c r="AGE45" s="656"/>
      <c r="AGF45" s="657"/>
      <c r="AGG45" s="656"/>
      <c r="AGH45" s="658"/>
      <c r="AGI45" s="656"/>
      <c r="AGJ45" s="658"/>
      <c r="AGM45" s="288"/>
      <c r="AGN45" s="312"/>
      <c r="AGO45" s="482"/>
      <c r="AGP45" s="312"/>
      <c r="AGQ45" s="656"/>
      <c r="AGR45" s="657"/>
      <c r="AGS45" s="656"/>
      <c r="AGT45" s="657"/>
      <c r="AGU45" s="656"/>
      <c r="AGV45" s="658"/>
      <c r="AGW45" s="656"/>
      <c r="AGX45" s="658"/>
      <c r="AHA45" s="288"/>
      <c r="AHB45" s="312"/>
      <c r="AHC45" s="482"/>
      <c r="AHD45" s="312"/>
      <c r="AHE45" s="656"/>
      <c r="AHF45" s="657"/>
      <c r="AHG45" s="656"/>
      <c r="AHH45" s="657"/>
      <c r="AHI45" s="656"/>
      <c r="AHJ45" s="658"/>
      <c r="AHK45" s="656"/>
      <c r="AHL45" s="658"/>
      <c r="AHO45" s="288"/>
      <c r="AHP45" s="312"/>
      <c r="AHQ45" s="482"/>
      <c r="AHR45" s="312"/>
      <c r="AHS45" s="656"/>
      <c r="AHT45" s="657"/>
      <c r="AHU45" s="656"/>
      <c r="AHV45" s="657"/>
      <c r="AHW45" s="656"/>
      <c r="AHX45" s="658"/>
      <c r="AHY45" s="656"/>
      <c r="AHZ45" s="658"/>
      <c r="AIC45" s="288"/>
      <c r="AID45" s="312"/>
      <c r="AIE45" s="482"/>
      <c r="AIF45" s="312"/>
      <c r="AIG45" s="656"/>
      <c r="AIH45" s="657"/>
      <c r="AII45" s="656"/>
      <c r="AIJ45" s="657"/>
      <c r="AIK45" s="656"/>
      <c r="AIL45" s="658"/>
      <c r="AIM45" s="656"/>
      <c r="AIN45" s="658"/>
      <c r="AIQ45" s="288"/>
      <c r="AIR45" s="312"/>
      <c r="AIS45" s="482"/>
      <c r="AIT45" s="312"/>
      <c r="AIU45" s="656"/>
      <c r="AIV45" s="657"/>
      <c r="AIW45" s="656"/>
      <c r="AIX45" s="657"/>
      <c r="AIY45" s="656"/>
      <c r="AIZ45" s="658"/>
      <c r="AJA45" s="656"/>
      <c r="AJB45" s="658"/>
      <c r="AJE45" s="288"/>
      <c r="AJF45" s="312"/>
      <c r="AJG45" s="482"/>
      <c r="AJH45" s="312"/>
      <c r="AJI45" s="656"/>
      <c r="AJJ45" s="657"/>
      <c r="AJK45" s="656"/>
      <c r="AJL45" s="657"/>
      <c r="AJM45" s="656"/>
      <c r="AJN45" s="658"/>
      <c r="AJO45" s="656"/>
      <c r="AJP45" s="658"/>
      <c r="AJS45" s="288"/>
      <c r="AJT45" s="312"/>
      <c r="AJU45" s="482"/>
      <c r="AJV45" s="312"/>
      <c r="AJW45" s="656"/>
      <c r="AJX45" s="657"/>
      <c r="AJY45" s="656"/>
      <c r="AJZ45" s="657"/>
      <c r="AKA45" s="656"/>
      <c r="AKB45" s="658"/>
      <c r="AKC45" s="656"/>
      <c r="AKD45" s="658"/>
      <c r="AKG45" s="288"/>
      <c r="AKH45" s="312"/>
      <c r="AKI45" s="482"/>
      <c r="AKJ45" s="312"/>
      <c r="AKK45" s="656"/>
      <c r="AKL45" s="657"/>
      <c r="AKM45" s="656"/>
      <c r="AKN45" s="657"/>
      <c r="AKO45" s="656"/>
      <c r="AKP45" s="658"/>
      <c r="AKQ45" s="656"/>
      <c r="AKR45" s="658"/>
      <c r="AKU45" s="288"/>
      <c r="AKV45" s="312"/>
      <c r="AKW45" s="482"/>
      <c r="AKX45" s="312"/>
      <c r="AKY45" s="656"/>
      <c r="AKZ45" s="657"/>
      <c r="ALA45" s="656"/>
      <c r="ALB45" s="657"/>
      <c r="ALC45" s="656"/>
      <c r="ALD45" s="658"/>
      <c r="ALE45" s="656"/>
      <c r="ALF45" s="658"/>
      <c r="ALI45" s="288"/>
      <c r="ALJ45" s="312"/>
      <c r="ALK45" s="482"/>
      <c r="ALL45" s="312"/>
      <c r="ALM45" s="656"/>
      <c r="ALN45" s="657"/>
      <c r="ALO45" s="656"/>
      <c r="ALP45" s="657"/>
      <c r="ALQ45" s="656"/>
      <c r="ALR45" s="658"/>
      <c r="ALS45" s="656"/>
      <c r="ALT45" s="658"/>
      <c r="ALW45" s="288"/>
      <c r="ALX45" s="312"/>
      <c r="ALY45" s="482"/>
      <c r="ALZ45" s="312"/>
      <c r="AMA45" s="656"/>
      <c r="AMB45" s="657"/>
      <c r="AMC45" s="656"/>
      <c r="AMD45" s="657"/>
      <c r="AME45" s="656"/>
      <c r="AMF45" s="658"/>
      <c r="AMG45" s="656"/>
      <c r="AMH45" s="658"/>
      <c r="AMK45" s="288"/>
      <c r="AML45" s="312"/>
      <c r="AMM45" s="482"/>
      <c r="AMN45" s="312"/>
      <c r="AMO45" s="656"/>
      <c r="AMP45" s="657"/>
      <c r="AMQ45" s="656"/>
      <c r="AMR45" s="657"/>
      <c r="AMS45" s="656"/>
      <c r="AMT45" s="658"/>
      <c r="AMU45" s="656"/>
      <c r="AMV45" s="658"/>
      <c r="AMY45" s="288"/>
      <c r="AMZ45" s="312"/>
      <c r="ANA45" s="482"/>
      <c r="ANB45" s="312"/>
      <c r="ANC45" s="656"/>
      <c r="AND45" s="657"/>
      <c r="ANE45" s="656"/>
      <c r="ANF45" s="657"/>
      <c r="ANG45" s="656"/>
      <c r="ANH45" s="658"/>
      <c r="ANI45" s="656"/>
      <c r="ANJ45" s="658"/>
      <c r="ANM45" s="288"/>
      <c r="ANN45" s="312"/>
      <c r="ANO45" s="482"/>
      <c r="ANP45" s="312"/>
      <c r="ANQ45" s="656"/>
      <c r="ANR45" s="657"/>
      <c r="ANS45" s="656"/>
      <c r="ANT45" s="657"/>
      <c r="ANU45" s="656"/>
      <c r="ANV45" s="658"/>
      <c r="ANW45" s="656"/>
      <c r="ANX45" s="658"/>
      <c r="AOA45" s="288"/>
      <c r="AOB45" s="312"/>
      <c r="AOC45" s="482"/>
      <c r="AOD45" s="312"/>
      <c r="AOE45" s="656"/>
      <c r="AOF45" s="657"/>
      <c r="AOG45" s="656"/>
      <c r="AOH45" s="657"/>
      <c r="AOI45" s="656"/>
      <c r="AOJ45" s="658"/>
      <c r="AOK45" s="656"/>
      <c r="AOL45" s="658"/>
      <c r="AOO45" s="288"/>
      <c r="AOP45" s="312"/>
      <c r="AOQ45" s="482"/>
      <c r="AOR45" s="312"/>
      <c r="AOS45" s="656"/>
      <c r="AOT45" s="657"/>
      <c r="AOU45" s="656"/>
      <c r="AOV45" s="657"/>
      <c r="AOW45" s="656"/>
      <c r="AOX45" s="658"/>
      <c r="AOY45" s="656"/>
      <c r="AOZ45" s="658"/>
      <c r="APC45" s="288"/>
      <c r="APD45" s="312"/>
      <c r="APE45" s="482"/>
      <c r="APF45" s="312"/>
      <c r="APG45" s="656"/>
      <c r="APH45" s="657"/>
      <c r="API45" s="656"/>
      <c r="APJ45" s="657"/>
      <c r="APK45" s="656"/>
      <c r="APL45" s="658"/>
      <c r="APM45" s="656"/>
      <c r="APN45" s="658"/>
      <c r="APQ45" s="288"/>
      <c r="APR45" s="312"/>
      <c r="APS45" s="482"/>
      <c r="APT45" s="312"/>
      <c r="APU45" s="656"/>
      <c r="APV45" s="657"/>
      <c r="APW45" s="656"/>
      <c r="APX45" s="657"/>
      <c r="APY45" s="656"/>
      <c r="APZ45" s="658"/>
      <c r="AQA45" s="656"/>
      <c r="AQB45" s="658"/>
      <c r="AQE45" s="288"/>
      <c r="AQF45" s="312"/>
      <c r="AQG45" s="482"/>
      <c r="AQH45" s="312"/>
      <c r="AQI45" s="656"/>
      <c r="AQJ45" s="657"/>
      <c r="AQK45" s="656"/>
      <c r="AQL45" s="657"/>
      <c r="AQM45" s="656"/>
      <c r="AQN45" s="658"/>
      <c r="AQO45" s="656"/>
      <c r="AQP45" s="658"/>
      <c r="AQS45" s="288"/>
      <c r="AQT45" s="312"/>
      <c r="AQU45" s="482"/>
      <c r="AQV45" s="312"/>
      <c r="AQW45" s="656"/>
      <c r="AQX45" s="657"/>
      <c r="AQY45" s="656"/>
      <c r="AQZ45" s="657"/>
      <c r="ARA45" s="656"/>
      <c r="ARB45" s="658"/>
      <c r="ARC45" s="656"/>
      <c r="ARD45" s="658"/>
      <c r="ARG45" s="288"/>
      <c r="ARH45" s="312"/>
      <c r="ARI45" s="482"/>
      <c r="ARJ45" s="312"/>
      <c r="ARK45" s="656"/>
      <c r="ARL45" s="657"/>
      <c r="ARM45" s="656"/>
      <c r="ARN45" s="657"/>
      <c r="ARO45" s="656"/>
      <c r="ARP45" s="658"/>
      <c r="ARQ45" s="656"/>
      <c r="ARR45" s="658"/>
      <c r="ARU45" s="288"/>
      <c r="ARV45" s="312"/>
      <c r="ARW45" s="482"/>
      <c r="ARX45" s="312"/>
      <c r="ARY45" s="656"/>
      <c r="ARZ45" s="657"/>
      <c r="ASA45" s="656"/>
      <c r="ASB45" s="657"/>
      <c r="ASC45" s="656"/>
      <c r="ASD45" s="658"/>
      <c r="ASE45" s="656"/>
      <c r="ASF45" s="658"/>
      <c r="ASI45" s="288"/>
      <c r="ASJ45" s="312"/>
      <c r="ASK45" s="482"/>
      <c r="ASL45" s="312"/>
      <c r="ASM45" s="656"/>
      <c r="ASN45" s="657"/>
      <c r="ASO45" s="656"/>
      <c r="ASP45" s="657"/>
      <c r="ASQ45" s="656"/>
      <c r="ASR45" s="658"/>
      <c r="ASS45" s="656"/>
      <c r="AST45" s="658"/>
      <c r="ASW45" s="288"/>
      <c r="ASX45" s="312"/>
      <c r="ASY45" s="482"/>
      <c r="ASZ45" s="312"/>
      <c r="ATA45" s="656"/>
      <c r="ATB45" s="657"/>
      <c r="ATC45" s="656"/>
      <c r="ATD45" s="657"/>
      <c r="ATE45" s="656"/>
      <c r="ATF45" s="658"/>
      <c r="ATG45" s="656"/>
      <c r="ATH45" s="658"/>
      <c r="ATK45" s="288"/>
      <c r="ATL45" s="312"/>
      <c r="ATM45" s="482"/>
      <c r="ATN45" s="312"/>
      <c r="ATO45" s="656"/>
      <c r="ATP45" s="657"/>
      <c r="ATQ45" s="656"/>
      <c r="ATR45" s="657"/>
      <c r="ATS45" s="656"/>
      <c r="ATT45" s="658"/>
      <c r="ATU45" s="656"/>
      <c r="ATV45" s="658"/>
      <c r="ATY45" s="288"/>
      <c r="ATZ45" s="312"/>
      <c r="AUA45" s="482"/>
      <c r="AUB45" s="312"/>
      <c r="AUC45" s="656"/>
      <c r="AUD45" s="657"/>
      <c r="AUE45" s="656"/>
      <c r="AUF45" s="657"/>
      <c r="AUG45" s="656"/>
      <c r="AUH45" s="658"/>
      <c r="AUI45" s="656"/>
      <c r="AUJ45" s="658"/>
      <c r="AUM45" s="288"/>
      <c r="AUN45" s="312"/>
      <c r="AUO45" s="482"/>
      <c r="AUP45" s="312"/>
      <c r="AUQ45" s="656"/>
      <c r="AUR45" s="657"/>
      <c r="AUS45" s="656"/>
      <c r="AUT45" s="657"/>
      <c r="AUU45" s="656"/>
      <c r="AUV45" s="658"/>
      <c r="AUW45" s="656"/>
      <c r="AUX45" s="658"/>
      <c r="AVA45" s="288"/>
      <c r="AVB45" s="312"/>
      <c r="AVC45" s="482"/>
      <c r="AVD45" s="312"/>
      <c r="AVE45" s="656"/>
      <c r="AVF45" s="657"/>
      <c r="AVG45" s="656"/>
      <c r="AVH45" s="657"/>
      <c r="AVI45" s="656"/>
      <c r="AVJ45" s="658"/>
      <c r="AVK45" s="656"/>
      <c r="AVL45" s="658"/>
      <c r="AVO45" s="288"/>
      <c r="AVP45" s="312"/>
      <c r="AVQ45" s="482"/>
      <c r="AVR45" s="312"/>
      <c r="AVS45" s="656"/>
      <c r="AVT45" s="657"/>
      <c r="AVU45" s="656"/>
      <c r="AVV45" s="657"/>
      <c r="AVW45" s="656"/>
      <c r="AVX45" s="658"/>
      <c r="AVY45" s="656"/>
      <c r="AVZ45" s="658"/>
      <c r="AWC45" s="288"/>
      <c r="AWD45" s="312"/>
      <c r="AWE45" s="482"/>
      <c r="AWF45" s="312"/>
      <c r="AWG45" s="656"/>
      <c r="AWH45" s="657"/>
      <c r="AWI45" s="656"/>
      <c r="AWJ45" s="657"/>
      <c r="AWK45" s="656"/>
      <c r="AWL45" s="658"/>
      <c r="AWM45" s="656"/>
      <c r="AWN45" s="658"/>
      <c r="AWQ45" s="288"/>
      <c r="AWR45" s="312"/>
      <c r="AWS45" s="482"/>
      <c r="AWT45" s="312"/>
      <c r="AWU45" s="656"/>
      <c r="AWV45" s="657"/>
      <c r="AWW45" s="656"/>
      <c r="AWX45" s="657"/>
      <c r="AWY45" s="656"/>
      <c r="AWZ45" s="658"/>
      <c r="AXA45" s="656"/>
      <c r="AXB45" s="658"/>
      <c r="AXE45" s="288"/>
      <c r="AXF45" s="312"/>
      <c r="AXG45" s="482"/>
      <c r="AXH45" s="312"/>
      <c r="AXI45" s="656"/>
      <c r="AXJ45" s="657"/>
      <c r="AXK45" s="656"/>
      <c r="AXL45" s="657"/>
      <c r="AXM45" s="656"/>
      <c r="AXN45" s="658"/>
      <c r="AXO45" s="656"/>
      <c r="AXP45" s="658"/>
      <c r="AXS45" s="288"/>
      <c r="AXT45" s="312"/>
      <c r="AXU45" s="482"/>
      <c r="AXV45" s="312"/>
      <c r="AXW45" s="656"/>
      <c r="AXX45" s="657"/>
      <c r="AXY45" s="656"/>
      <c r="AXZ45" s="657"/>
      <c r="AYA45" s="656"/>
      <c r="AYB45" s="658"/>
      <c r="AYC45" s="656"/>
      <c r="AYD45" s="658"/>
      <c r="AYG45" s="288"/>
      <c r="AYH45" s="312"/>
      <c r="AYI45" s="482"/>
      <c r="AYJ45" s="312"/>
      <c r="AYK45" s="656"/>
      <c r="AYL45" s="657"/>
      <c r="AYM45" s="656"/>
      <c r="AYN45" s="657"/>
      <c r="AYO45" s="656"/>
      <c r="AYP45" s="658"/>
      <c r="AYQ45" s="656"/>
      <c r="AYR45" s="658"/>
      <c r="AYU45" s="288"/>
      <c r="AYV45" s="312"/>
      <c r="AYW45" s="482"/>
      <c r="AYX45" s="312"/>
      <c r="AYY45" s="656"/>
      <c r="AYZ45" s="657"/>
      <c r="AZA45" s="656"/>
      <c r="AZB45" s="657"/>
      <c r="AZC45" s="656"/>
      <c r="AZD45" s="658"/>
      <c r="AZE45" s="656"/>
      <c r="AZF45" s="658"/>
      <c r="AZI45" s="288"/>
      <c r="AZJ45" s="312"/>
      <c r="AZK45" s="482"/>
      <c r="AZL45" s="312"/>
      <c r="AZM45" s="656"/>
      <c r="AZN45" s="657"/>
      <c r="AZO45" s="656"/>
      <c r="AZP45" s="657"/>
      <c r="AZQ45" s="656"/>
      <c r="AZR45" s="658"/>
      <c r="AZS45" s="656"/>
      <c r="AZT45" s="658"/>
      <c r="AZW45" s="288"/>
      <c r="AZX45" s="312"/>
      <c r="AZY45" s="482"/>
      <c r="AZZ45" s="312"/>
      <c r="BAA45" s="656"/>
      <c r="BAB45" s="657"/>
      <c r="BAC45" s="656"/>
      <c r="BAD45" s="657"/>
      <c r="BAE45" s="656"/>
      <c r="BAF45" s="658"/>
      <c r="BAG45" s="656"/>
      <c r="BAH45" s="658"/>
      <c r="BAK45" s="288"/>
      <c r="BAL45" s="312"/>
      <c r="BAM45" s="482"/>
      <c r="BAN45" s="312"/>
      <c r="BAO45" s="656"/>
      <c r="BAP45" s="657"/>
      <c r="BAQ45" s="656"/>
      <c r="BAR45" s="657"/>
      <c r="BAS45" s="656"/>
      <c r="BAT45" s="658"/>
      <c r="BAU45" s="656"/>
      <c r="BAV45" s="658"/>
      <c r="BAY45" s="288"/>
      <c r="BAZ45" s="312"/>
      <c r="BBA45" s="482"/>
      <c r="BBB45" s="312"/>
      <c r="BBC45" s="656"/>
      <c r="BBD45" s="657"/>
      <c r="BBE45" s="656"/>
      <c r="BBF45" s="657"/>
      <c r="BBG45" s="656"/>
      <c r="BBH45" s="658"/>
      <c r="BBI45" s="656"/>
      <c r="BBJ45" s="658"/>
      <c r="BBM45" s="288"/>
      <c r="BBN45" s="312"/>
      <c r="BBO45" s="482"/>
      <c r="BBP45" s="312"/>
      <c r="BBQ45" s="656"/>
      <c r="BBR45" s="657"/>
      <c r="BBS45" s="656"/>
      <c r="BBT45" s="657"/>
      <c r="BBU45" s="656"/>
      <c r="BBV45" s="658"/>
      <c r="BBW45" s="656"/>
      <c r="BBX45" s="658"/>
      <c r="BCA45" s="288"/>
      <c r="BCB45" s="312"/>
      <c r="BCC45" s="482"/>
      <c r="BCD45" s="312"/>
      <c r="BCE45" s="656"/>
      <c r="BCF45" s="657"/>
      <c r="BCG45" s="656"/>
      <c r="BCH45" s="657"/>
      <c r="BCI45" s="656"/>
      <c r="BCJ45" s="658"/>
      <c r="BCK45" s="656"/>
      <c r="BCL45" s="658"/>
      <c r="BCO45" s="288"/>
      <c r="BCP45" s="312"/>
      <c r="BCQ45" s="482"/>
      <c r="BCR45" s="312"/>
      <c r="BCS45" s="656"/>
      <c r="BCT45" s="657"/>
      <c r="BCU45" s="656"/>
      <c r="BCV45" s="657"/>
      <c r="BCW45" s="656"/>
      <c r="BCX45" s="658"/>
      <c r="BCY45" s="656"/>
      <c r="BCZ45" s="658"/>
      <c r="BDC45" s="288"/>
      <c r="BDD45" s="312"/>
      <c r="BDE45" s="482"/>
      <c r="BDF45" s="312"/>
      <c r="BDG45" s="656"/>
      <c r="BDH45" s="657"/>
      <c r="BDI45" s="656"/>
      <c r="BDJ45" s="657"/>
      <c r="BDK45" s="656"/>
      <c r="BDL45" s="658"/>
      <c r="BDM45" s="656"/>
      <c r="BDN45" s="658"/>
      <c r="BDQ45" s="288"/>
      <c r="BDR45" s="312"/>
      <c r="BDS45" s="482"/>
      <c r="BDT45" s="312"/>
      <c r="BDU45" s="656"/>
      <c r="BDV45" s="657"/>
      <c r="BDW45" s="656"/>
      <c r="BDX45" s="657"/>
      <c r="BDY45" s="656"/>
      <c r="BDZ45" s="658"/>
      <c r="BEA45" s="656"/>
      <c r="BEB45" s="658"/>
      <c r="BEE45" s="288"/>
      <c r="BEF45" s="312"/>
      <c r="BEG45" s="482"/>
      <c r="BEH45" s="312"/>
      <c r="BEI45" s="656"/>
      <c r="BEJ45" s="657"/>
      <c r="BEK45" s="656"/>
      <c r="BEL45" s="657"/>
      <c r="BEM45" s="656"/>
      <c r="BEN45" s="658"/>
      <c r="BEO45" s="656"/>
      <c r="BEP45" s="658"/>
      <c r="BES45" s="288"/>
      <c r="BET45" s="312"/>
      <c r="BEU45" s="482"/>
      <c r="BEV45" s="312"/>
      <c r="BEW45" s="656"/>
      <c r="BEX45" s="657"/>
      <c r="BEY45" s="656"/>
      <c r="BEZ45" s="657"/>
      <c r="BFA45" s="656"/>
      <c r="BFB45" s="658"/>
      <c r="BFC45" s="656"/>
      <c r="BFD45" s="658"/>
      <c r="BFG45" s="288"/>
      <c r="BFH45" s="312"/>
      <c r="BFI45" s="482"/>
      <c r="BFJ45" s="312"/>
      <c r="BFK45" s="656"/>
      <c r="BFL45" s="657"/>
      <c r="BFM45" s="656"/>
      <c r="BFN45" s="657"/>
      <c r="BFO45" s="656"/>
      <c r="BFP45" s="658"/>
      <c r="BFQ45" s="656"/>
      <c r="BFR45" s="658"/>
      <c r="BFU45" s="288"/>
      <c r="BFV45" s="312"/>
      <c r="BFW45" s="482"/>
      <c r="BFX45" s="312"/>
      <c r="BFY45" s="656"/>
      <c r="BFZ45" s="657"/>
      <c r="BGA45" s="656"/>
      <c r="BGB45" s="657"/>
      <c r="BGC45" s="656"/>
      <c r="BGD45" s="658"/>
      <c r="BGE45" s="656"/>
      <c r="BGF45" s="658"/>
      <c r="BGI45" s="288"/>
      <c r="BGJ45" s="312"/>
      <c r="BGK45" s="482"/>
      <c r="BGL45" s="312"/>
      <c r="BGM45" s="656"/>
      <c r="BGN45" s="657"/>
      <c r="BGO45" s="656"/>
      <c r="BGP45" s="657"/>
      <c r="BGQ45" s="656"/>
      <c r="BGR45" s="658"/>
      <c r="BGS45" s="656"/>
      <c r="BGT45" s="658"/>
      <c r="BGW45" s="288"/>
      <c r="BGX45" s="312"/>
      <c r="BGY45" s="482"/>
      <c r="BGZ45" s="312"/>
      <c r="BHA45" s="656"/>
      <c r="BHB45" s="657"/>
      <c r="BHC45" s="656"/>
      <c r="BHD45" s="657"/>
      <c r="BHE45" s="656"/>
      <c r="BHF45" s="658"/>
      <c r="BHG45" s="656"/>
      <c r="BHH45" s="658"/>
      <c r="BHK45" s="288"/>
      <c r="BHL45" s="312"/>
      <c r="BHM45" s="482"/>
      <c r="BHN45" s="312"/>
      <c r="BHO45" s="656"/>
      <c r="BHP45" s="657"/>
      <c r="BHQ45" s="656"/>
      <c r="BHR45" s="657"/>
      <c r="BHS45" s="656"/>
      <c r="BHT45" s="658"/>
      <c r="BHU45" s="656"/>
      <c r="BHV45" s="658"/>
      <c r="BHY45" s="288"/>
      <c r="BHZ45" s="312"/>
      <c r="BIA45" s="482"/>
      <c r="BIB45" s="312"/>
      <c r="BIC45" s="656"/>
      <c r="BID45" s="657"/>
      <c r="BIE45" s="656"/>
      <c r="BIF45" s="657"/>
      <c r="BIG45" s="656"/>
      <c r="BIH45" s="658"/>
      <c r="BII45" s="656"/>
      <c r="BIJ45" s="658"/>
      <c r="BIM45" s="288"/>
      <c r="BIN45" s="312"/>
      <c r="BIO45" s="482"/>
      <c r="BIP45" s="312"/>
      <c r="BIQ45" s="656"/>
      <c r="BIR45" s="657"/>
      <c r="BIS45" s="656"/>
      <c r="BIT45" s="657"/>
      <c r="BIU45" s="656"/>
      <c r="BIV45" s="658"/>
      <c r="BIW45" s="656"/>
      <c r="BIX45" s="658"/>
      <c r="BJA45" s="288"/>
      <c r="BJB45" s="312"/>
      <c r="BJC45" s="482"/>
      <c r="BJD45" s="312"/>
      <c r="BJE45" s="656"/>
      <c r="BJF45" s="657"/>
      <c r="BJG45" s="656"/>
      <c r="BJH45" s="657"/>
      <c r="BJI45" s="656"/>
      <c r="BJJ45" s="658"/>
      <c r="BJK45" s="656"/>
      <c r="BJL45" s="658"/>
      <c r="BJO45" s="288"/>
      <c r="BJP45" s="312"/>
      <c r="BJQ45" s="482"/>
      <c r="BJR45" s="312"/>
      <c r="BJS45" s="656"/>
      <c r="BJT45" s="657"/>
      <c r="BJU45" s="656"/>
      <c r="BJV45" s="657"/>
      <c r="BJW45" s="656"/>
      <c r="BJX45" s="658"/>
      <c r="BJY45" s="656"/>
      <c r="BJZ45" s="658"/>
      <c r="BKC45" s="288"/>
      <c r="BKD45" s="312"/>
      <c r="BKE45" s="482"/>
      <c r="BKF45" s="312"/>
      <c r="BKG45" s="656"/>
      <c r="BKH45" s="657"/>
      <c r="BKI45" s="656"/>
      <c r="BKJ45" s="657"/>
      <c r="BKK45" s="656"/>
      <c r="BKL45" s="658"/>
      <c r="BKM45" s="656"/>
      <c r="BKN45" s="658"/>
      <c r="BKQ45" s="288"/>
      <c r="BKR45" s="312"/>
      <c r="BKS45" s="482"/>
      <c r="BKT45" s="312"/>
      <c r="BKU45" s="656"/>
      <c r="BKV45" s="657"/>
      <c r="BKW45" s="656"/>
      <c r="BKX45" s="657"/>
      <c r="BKY45" s="656"/>
      <c r="BKZ45" s="658"/>
      <c r="BLA45" s="656"/>
      <c r="BLB45" s="658"/>
      <c r="BLE45" s="288"/>
      <c r="BLF45" s="312"/>
      <c r="BLG45" s="482"/>
      <c r="BLH45" s="312"/>
      <c r="BLI45" s="656"/>
      <c r="BLJ45" s="657"/>
      <c r="BLK45" s="656"/>
      <c r="BLL45" s="657"/>
      <c r="BLM45" s="656"/>
      <c r="BLN45" s="658"/>
      <c r="BLO45" s="656"/>
      <c r="BLP45" s="658"/>
      <c r="BLS45" s="288"/>
      <c r="BLT45" s="312"/>
      <c r="BLU45" s="482"/>
      <c r="BLV45" s="312"/>
      <c r="BLW45" s="656"/>
      <c r="BLX45" s="657"/>
      <c r="BLY45" s="656"/>
      <c r="BLZ45" s="657"/>
      <c r="BMA45" s="656"/>
      <c r="BMB45" s="658"/>
      <c r="BMC45" s="656"/>
      <c r="BMD45" s="658"/>
      <c r="BMG45" s="288"/>
      <c r="BMH45" s="312"/>
      <c r="BMI45" s="482"/>
      <c r="BMJ45" s="312"/>
      <c r="BMK45" s="656"/>
      <c r="BML45" s="657"/>
      <c r="BMM45" s="656"/>
      <c r="BMN45" s="657"/>
      <c r="BMO45" s="656"/>
      <c r="BMP45" s="658"/>
      <c r="BMQ45" s="656"/>
      <c r="BMR45" s="658"/>
      <c r="BMU45" s="288"/>
      <c r="BMV45" s="312"/>
      <c r="BMW45" s="482"/>
      <c r="BMX45" s="312"/>
      <c r="BMY45" s="656"/>
      <c r="BMZ45" s="657"/>
      <c r="BNA45" s="656"/>
      <c r="BNB45" s="657"/>
      <c r="BNC45" s="656"/>
      <c r="BND45" s="658"/>
      <c r="BNE45" s="656"/>
      <c r="BNF45" s="658"/>
      <c r="BNI45" s="288"/>
      <c r="BNJ45" s="312"/>
      <c r="BNK45" s="482"/>
      <c r="BNL45" s="312"/>
      <c r="BNM45" s="656"/>
      <c r="BNN45" s="657"/>
      <c r="BNO45" s="656"/>
      <c r="BNP45" s="657"/>
      <c r="BNQ45" s="656"/>
      <c r="BNR45" s="658"/>
      <c r="BNS45" s="656"/>
      <c r="BNT45" s="658"/>
      <c r="BNW45" s="288"/>
      <c r="BNX45" s="312"/>
      <c r="BNY45" s="482"/>
      <c r="BNZ45" s="312"/>
      <c r="BOA45" s="656"/>
      <c r="BOB45" s="657"/>
      <c r="BOC45" s="656"/>
      <c r="BOD45" s="657"/>
      <c r="BOE45" s="656"/>
      <c r="BOF45" s="658"/>
      <c r="BOG45" s="656"/>
      <c r="BOH45" s="658"/>
      <c r="BOK45" s="288"/>
      <c r="BOL45" s="312"/>
      <c r="BOM45" s="482"/>
      <c r="BON45" s="312"/>
      <c r="BOO45" s="656"/>
      <c r="BOP45" s="657"/>
      <c r="BOQ45" s="656"/>
      <c r="BOR45" s="657"/>
      <c r="BOS45" s="656"/>
      <c r="BOT45" s="658"/>
      <c r="BOU45" s="656"/>
      <c r="BOV45" s="658"/>
      <c r="BOY45" s="288"/>
      <c r="BOZ45" s="312"/>
      <c r="BPA45" s="482"/>
      <c r="BPB45" s="312"/>
      <c r="BPC45" s="656"/>
      <c r="BPD45" s="657"/>
      <c r="BPE45" s="656"/>
      <c r="BPF45" s="657"/>
      <c r="BPG45" s="656"/>
      <c r="BPH45" s="658"/>
      <c r="BPI45" s="656"/>
      <c r="BPJ45" s="658"/>
      <c r="BPM45" s="288"/>
      <c r="BPN45" s="312"/>
      <c r="BPO45" s="482"/>
      <c r="BPP45" s="312"/>
      <c r="BPQ45" s="656"/>
      <c r="BPR45" s="657"/>
      <c r="BPS45" s="656"/>
      <c r="BPT45" s="657"/>
      <c r="BPU45" s="656"/>
      <c r="BPV45" s="658"/>
      <c r="BPW45" s="656"/>
      <c r="BPX45" s="658"/>
      <c r="BQA45" s="288"/>
      <c r="BQB45" s="312"/>
      <c r="BQC45" s="482"/>
      <c r="BQD45" s="312"/>
      <c r="BQE45" s="656"/>
      <c r="BQF45" s="657"/>
      <c r="BQG45" s="656"/>
      <c r="BQH45" s="657"/>
      <c r="BQI45" s="656"/>
      <c r="BQJ45" s="658"/>
      <c r="BQK45" s="656"/>
      <c r="BQL45" s="658"/>
      <c r="BQO45" s="288"/>
      <c r="BQP45" s="312"/>
      <c r="BQQ45" s="482"/>
      <c r="BQR45" s="312"/>
      <c r="BQS45" s="656"/>
      <c r="BQT45" s="657"/>
      <c r="BQU45" s="656"/>
      <c r="BQV45" s="657"/>
      <c r="BQW45" s="656"/>
      <c r="BQX45" s="658"/>
      <c r="BQY45" s="656"/>
      <c r="BQZ45" s="658"/>
      <c r="BRC45" s="288"/>
      <c r="BRD45" s="312"/>
      <c r="BRE45" s="482"/>
      <c r="BRF45" s="312"/>
      <c r="BRG45" s="656"/>
      <c r="BRH45" s="657"/>
      <c r="BRI45" s="656"/>
      <c r="BRJ45" s="657"/>
      <c r="BRK45" s="656"/>
      <c r="BRL45" s="658"/>
      <c r="BRM45" s="656"/>
      <c r="BRN45" s="658"/>
      <c r="BRQ45" s="288"/>
      <c r="BRR45" s="312"/>
      <c r="BRS45" s="482"/>
      <c r="BRT45" s="312"/>
      <c r="BRU45" s="656"/>
      <c r="BRV45" s="657"/>
      <c r="BRW45" s="656"/>
      <c r="BRX45" s="657"/>
      <c r="BRY45" s="656"/>
      <c r="BRZ45" s="658"/>
      <c r="BSA45" s="656"/>
      <c r="BSB45" s="658"/>
      <c r="BSE45" s="288"/>
      <c r="BSF45" s="312"/>
      <c r="BSG45" s="482"/>
      <c r="BSH45" s="312"/>
      <c r="BSI45" s="656"/>
      <c r="BSJ45" s="657"/>
      <c r="BSK45" s="656"/>
      <c r="BSL45" s="657"/>
      <c r="BSM45" s="656"/>
      <c r="BSN45" s="658"/>
      <c r="BSO45" s="656"/>
      <c r="BSP45" s="658"/>
      <c r="BSS45" s="288"/>
      <c r="BST45" s="312"/>
      <c r="BSU45" s="482"/>
      <c r="BSV45" s="312"/>
      <c r="BSW45" s="656"/>
      <c r="BSX45" s="657"/>
      <c r="BSY45" s="656"/>
      <c r="BSZ45" s="657"/>
      <c r="BTA45" s="656"/>
      <c r="BTB45" s="658"/>
      <c r="BTC45" s="656"/>
      <c r="BTD45" s="658"/>
      <c r="BTG45" s="288"/>
      <c r="BTH45" s="312"/>
      <c r="BTI45" s="482"/>
      <c r="BTJ45" s="312"/>
      <c r="BTK45" s="656"/>
      <c r="BTL45" s="657"/>
      <c r="BTM45" s="656"/>
      <c r="BTN45" s="657"/>
      <c r="BTO45" s="656"/>
      <c r="BTP45" s="658"/>
      <c r="BTQ45" s="656"/>
      <c r="BTR45" s="658"/>
      <c r="BTU45" s="288"/>
      <c r="BTV45" s="312"/>
      <c r="BTW45" s="482"/>
      <c r="BTX45" s="312"/>
      <c r="BTY45" s="656"/>
      <c r="BTZ45" s="657"/>
      <c r="BUA45" s="656"/>
      <c r="BUB45" s="657"/>
      <c r="BUC45" s="656"/>
      <c r="BUD45" s="658"/>
      <c r="BUE45" s="656"/>
      <c r="BUF45" s="658"/>
      <c r="BUI45" s="288"/>
      <c r="BUJ45" s="312"/>
      <c r="BUK45" s="482"/>
      <c r="BUL45" s="312"/>
      <c r="BUM45" s="656"/>
      <c r="BUN45" s="657"/>
      <c r="BUO45" s="656"/>
      <c r="BUP45" s="657"/>
      <c r="BUQ45" s="656"/>
      <c r="BUR45" s="658"/>
      <c r="BUS45" s="656"/>
      <c r="BUT45" s="658"/>
      <c r="BUW45" s="288"/>
      <c r="BUX45" s="312"/>
      <c r="BUY45" s="482"/>
      <c r="BUZ45" s="312"/>
      <c r="BVA45" s="656"/>
      <c r="BVB45" s="657"/>
      <c r="BVC45" s="656"/>
      <c r="BVD45" s="657"/>
      <c r="BVE45" s="656"/>
      <c r="BVF45" s="658"/>
      <c r="BVG45" s="656"/>
      <c r="BVH45" s="658"/>
      <c r="BVK45" s="288"/>
      <c r="BVL45" s="312"/>
      <c r="BVM45" s="482"/>
      <c r="BVN45" s="312"/>
      <c r="BVO45" s="656"/>
      <c r="BVP45" s="657"/>
      <c r="BVQ45" s="656"/>
      <c r="BVR45" s="657"/>
      <c r="BVS45" s="656"/>
      <c r="BVT45" s="658"/>
      <c r="BVU45" s="656"/>
      <c r="BVV45" s="658"/>
      <c r="BVY45" s="288"/>
      <c r="BVZ45" s="312"/>
      <c r="BWA45" s="482"/>
      <c r="BWB45" s="312"/>
      <c r="BWC45" s="656"/>
      <c r="BWD45" s="657"/>
      <c r="BWE45" s="656"/>
      <c r="BWF45" s="657"/>
      <c r="BWG45" s="656"/>
      <c r="BWH45" s="658"/>
      <c r="BWI45" s="656"/>
      <c r="BWJ45" s="658"/>
      <c r="BWM45" s="288"/>
      <c r="BWN45" s="312"/>
      <c r="BWO45" s="482"/>
      <c r="BWP45" s="312"/>
      <c r="BWQ45" s="656"/>
      <c r="BWR45" s="657"/>
      <c r="BWS45" s="656"/>
      <c r="BWT45" s="657"/>
      <c r="BWU45" s="656"/>
      <c r="BWV45" s="658"/>
      <c r="BWW45" s="656"/>
      <c r="BWX45" s="658"/>
      <c r="BXA45" s="288"/>
      <c r="BXB45" s="312"/>
      <c r="BXC45" s="482"/>
      <c r="BXD45" s="312"/>
      <c r="BXE45" s="656"/>
      <c r="BXF45" s="657"/>
      <c r="BXG45" s="656"/>
      <c r="BXH45" s="657"/>
      <c r="BXI45" s="656"/>
      <c r="BXJ45" s="658"/>
      <c r="BXK45" s="656"/>
      <c r="BXL45" s="658"/>
      <c r="BXO45" s="288"/>
      <c r="BXP45" s="312"/>
      <c r="BXQ45" s="482"/>
      <c r="BXR45" s="312"/>
      <c r="BXS45" s="656"/>
      <c r="BXT45" s="657"/>
      <c r="BXU45" s="656"/>
      <c r="BXV45" s="657"/>
      <c r="BXW45" s="656"/>
      <c r="BXX45" s="658"/>
      <c r="BXY45" s="656"/>
      <c r="BXZ45" s="658"/>
      <c r="BYC45" s="288"/>
      <c r="BYD45" s="312"/>
      <c r="BYE45" s="482"/>
      <c r="BYF45" s="312"/>
      <c r="BYG45" s="656"/>
      <c r="BYH45" s="657"/>
      <c r="BYI45" s="656"/>
      <c r="BYJ45" s="657"/>
      <c r="BYK45" s="656"/>
      <c r="BYL45" s="658"/>
      <c r="BYM45" s="656"/>
      <c r="BYN45" s="658"/>
      <c r="BYQ45" s="288"/>
      <c r="BYR45" s="312"/>
      <c r="BYS45" s="482"/>
      <c r="BYT45" s="312"/>
      <c r="BYU45" s="656"/>
      <c r="BYV45" s="657"/>
      <c r="BYW45" s="656"/>
      <c r="BYX45" s="657"/>
      <c r="BYY45" s="656"/>
      <c r="BYZ45" s="658"/>
      <c r="BZA45" s="656"/>
      <c r="BZB45" s="658"/>
      <c r="BZE45" s="288"/>
      <c r="BZF45" s="312"/>
      <c r="BZG45" s="482"/>
      <c r="BZH45" s="312"/>
      <c r="BZI45" s="656"/>
      <c r="BZJ45" s="657"/>
      <c r="BZK45" s="656"/>
      <c r="BZL45" s="657"/>
      <c r="BZM45" s="656"/>
      <c r="BZN45" s="658"/>
      <c r="BZO45" s="656"/>
      <c r="BZP45" s="658"/>
      <c r="BZS45" s="288"/>
      <c r="BZT45" s="312"/>
      <c r="BZU45" s="482"/>
      <c r="BZV45" s="312"/>
      <c r="BZW45" s="656"/>
      <c r="BZX45" s="657"/>
      <c r="BZY45" s="656"/>
      <c r="BZZ45" s="657"/>
      <c r="CAA45" s="656"/>
      <c r="CAB45" s="658"/>
      <c r="CAC45" s="656"/>
      <c r="CAD45" s="658"/>
      <c r="CAG45" s="288"/>
      <c r="CAH45" s="312"/>
      <c r="CAI45" s="482"/>
      <c r="CAJ45" s="312"/>
      <c r="CAK45" s="656"/>
      <c r="CAL45" s="657"/>
      <c r="CAM45" s="656"/>
      <c r="CAN45" s="657"/>
      <c r="CAO45" s="656"/>
      <c r="CAP45" s="658"/>
      <c r="CAQ45" s="656"/>
      <c r="CAR45" s="658"/>
      <c r="CAU45" s="288"/>
      <c r="CAV45" s="312"/>
      <c r="CAW45" s="482"/>
      <c r="CAX45" s="312"/>
      <c r="CAY45" s="656"/>
      <c r="CAZ45" s="657"/>
      <c r="CBA45" s="656"/>
      <c r="CBB45" s="657"/>
      <c r="CBC45" s="656"/>
      <c r="CBD45" s="658"/>
      <c r="CBE45" s="656"/>
      <c r="CBF45" s="658"/>
      <c r="CBI45" s="288"/>
      <c r="CBJ45" s="312"/>
      <c r="CBK45" s="482"/>
      <c r="CBL45" s="312"/>
      <c r="CBM45" s="656"/>
      <c r="CBN45" s="657"/>
      <c r="CBO45" s="656"/>
      <c r="CBP45" s="657"/>
      <c r="CBQ45" s="656"/>
      <c r="CBR45" s="658"/>
      <c r="CBS45" s="656"/>
      <c r="CBT45" s="658"/>
      <c r="CBW45" s="288"/>
      <c r="CBX45" s="312"/>
      <c r="CBY45" s="482"/>
      <c r="CBZ45" s="312"/>
      <c r="CCA45" s="656"/>
      <c r="CCB45" s="657"/>
      <c r="CCC45" s="656"/>
      <c r="CCD45" s="657"/>
      <c r="CCE45" s="656"/>
      <c r="CCF45" s="658"/>
      <c r="CCG45" s="656"/>
      <c r="CCH45" s="658"/>
      <c r="CCK45" s="288"/>
      <c r="CCL45" s="312"/>
      <c r="CCM45" s="482"/>
      <c r="CCN45" s="312"/>
      <c r="CCO45" s="656"/>
      <c r="CCP45" s="657"/>
      <c r="CCQ45" s="656"/>
      <c r="CCR45" s="657"/>
      <c r="CCS45" s="656"/>
      <c r="CCT45" s="658"/>
      <c r="CCU45" s="656"/>
      <c r="CCV45" s="658"/>
      <c r="CCY45" s="288"/>
      <c r="CCZ45" s="312"/>
      <c r="CDA45" s="482"/>
      <c r="CDB45" s="312"/>
      <c r="CDC45" s="656"/>
      <c r="CDD45" s="657"/>
      <c r="CDE45" s="656"/>
      <c r="CDF45" s="657"/>
      <c r="CDG45" s="656"/>
      <c r="CDH45" s="658"/>
      <c r="CDI45" s="656"/>
      <c r="CDJ45" s="658"/>
      <c r="CDM45" s="288"/>
      <c r="CDN45" s="312"/>
      <c r="CDO45" s="482"/>
      <c r="CDP45" s="312"/>
      <c r="CDQ45" s="656"/>
      <c r="CDR45" s="657"/>
      <c r="CDS45" s="656"/>
      <c r="CDT45" s="657"/>
      <c r="CDU45" s="656"/>
      <c r="CDV45" s="658"/>
      <c r="CDW45" s="656"/>
      <c r="CDX45" s="658"/>
      <c r="CEA45" s="288"/>
      <c r="CEB45" s="312"/>
      <c r="CEC45" s="482"/>
      <c r="CED45" s="312"/>
      <c r="CEE45" s="656"/>
      <c r="CEF45" s="657"/>
      <c r="CEG45" s="656"/>
      <c r="CEH45" s="657"/>
      <c r="CEI45" s="656"/>
      <c r="CEJ45" s="658"/>
      <c r="CEK45" s="656"/>
      <c r="CEL45" s="658"/>
      <c r="CEO45" s="288"/>
      <c r="CEP45" s="312"/>
      <c r="CEQ45" s="482"/>
      <c r="CER45" s="312"/>
      <c r="CES45" s="656"/>
      <c r="CET45" s="657"/>
      <c r="CEU45" s="656"/>
      <c r="CEV45" s="657"/>
      <c r="CEW45" s="656"/>
      <c r="CEX45" s="658"/>
      <c r="CEY45" s="656"/>
      <c r="CEZ45" s="658"/>
      <c r="CFC45" s="288"/>
      <c r="CFD45" s="312"/>
      <c r="CFE45" s="482"/>
      <c r="CFF45" s="312"/>
      <c r="CFG45" s="656"/>
      <c r="CFH45" s="657"/>
      <c r="CFI45" s="656"/>
      <c r="CFJ45" s="657"/>
      <c r="CFK45" s="656"/>
      <c r="CFL45" s="658"/>
      <c r="CFM45" s="656"/>
      <c r="CFN45" s="658"/>
      <c r="CFQ45" s="288"/>
      <c r="CFR45" s="312"/>
      <c r="CFS45" s="482"/>
      <c r="CFT45" s="312"/>
      <c r="CFU45" s="656"/>
      <c r="CFV45" s="657"/>
      <c r="CFW45" s="656"/>
      <c r="CFX45" s="657"/>
      <c r="CFY45" s="656"/>
      <c r="CFZ45" s="658"/>
      <c r="CGA45" s="656"/>
      <c r="CGB45" s="658"/>
      <c r="CGE45" s="288"/>
      <c r="CGF45" s="312"/>
      <c r="CGG45" s="482"/>
      <c r="CGH45" s="312"/>
      <c r="CGI45" s="656"/>
      <c r="CGJ45" s="657"/>
      <c r="CGK45" s="656"/>
      <c r="CGL45" s="657"/>
      <c r="CGM45" s="656"/>
      <c r="CGN45" s="658"/>
      <c r="CGO45" s="656"/>
      <c r="CGP45" s="658"/>
      <c r="CGS45" s="288"/>
      <c r="CGT45" s="312"/>
      <c r="CGU45" s="482"/>
      <c r="CGV45" s="312"/>
      <c r="CGW45" s="656"/>
      <c r="CGX45" s="657"/>
      <c r="CGY45" s="656"/>
      <c r="CGZ45" s="657"/>
      <c r="CHA45" s="656"/>
      <c r="CHB45" s="658"/>
      <c r="CHC45" s="656"/>
      <c r="CHD45" s="658"/>
      <c r="CHG45" s="288"/>
      <c r="CHH45" s="312"/>
      <c r="CHI45" s="482"/>
      <c r="CHJ45" s="312"/>
      <c r="CHK45" s="656"/>
      <c r="CHL45" s="657"/>
      <c r="CHM45" s="656"/>
      <c r="CHN45" s="657"/>
      <c r="CHO45" s="656"/>
      <c r="CHP45" s="658"/>
      <c r="CHQ45" s="656"/>
      <c r="CHR45" s="658"/>
      <c r="CHU45" s="288"/>
      <c r="CHV45" s="312"/>
      <c r="CHW45" s="482"/>
      <c r="CHX45" s="312"/>
      <c r="CHY45" s="656"/>
      <c r="CHZ45" s="657"/>
      <c r="CIA45" s="656"/>
      <c r="CIB45" s="657"/>
      <c r="CIC45" s="656"/>
      <c r="CID45" s="658"/>
      <c r="CIE45" s="656"/>
      <c r="CIF45" s="658"/>
      <c r="CII45" s="288"/>
      <c r="CIJ45" s="312"/>
      <c r="CIK45" s="482"/>
      <c r="CIL45" s="312"/>
      <c r="CIM45" s="656"/>
      <c r="CIN45" s="657"/>
      <c r="CIO45" s="656"/>
      <c r="CIP45" s="657"/>
      <c r="CIQ45" s="656"/>
      <c r="CIR45" s="658"/>
      <c r="CIS45" s="656"/>
      <c r="CIT45" s="658"/>
      <c r="CIW45" s="288"/>
      <c r="CIX45" s="312"/>
      <c r="CIY45" s="482"/>
      <c r="CIZ45" s="312"/>
      <c r="CJA45" s="656"/>
      <c r="CJB45" s="657"/>
      <c r="CJC45" s="656"/>
      <c r="CJD45" s="657"/>
      <c r="CJE45" s="656"/>
      <c r="CJF45" s="658"/>
      <c r="CJG45" s="656"/>
      <c r="CJH45" s="658"/>
      <c r="CJK45" s="288"/>
      <c r="CJL45" s="312"/>
      <c r="CJM45" s="482"/>
      <c r="CJN45" s="312"/>
      <c r="CJO45" s="656"/>
      <c r="CJP45" s="657"/>
      <c r="CJQ45" s="656"/>
      <c r="CJR45" s="657"/>
      <c r="CJS45" s="656"/>
      <c r="CJT45" s="658"/>
      <c r="CJU45" s="656"/>
      <c r="CJV45" s="658"/>
      <c r="CJY45" s="288"/>
      <c r="CJZ45" s="312"/>
      <c r="CKA45" s="482"/>
      <c r="CKB45" s="312"/>
      <c r="CKC45" s="656"/>
      <c r="CKD45" s="657"/>
      <c r="CKE45" s="656"/>
      <c r="CKF45" s="657"/>
      <c r="CKG45" s="656"/>
      <c r="CKH45" s="658"/>
      <c r="CKI45" s="656"/>
      <c r="CKJ45" s="658"/>
      <c r="CKM45" s="288"/>
      <c r="CKN45" s="312"/>
      <c r="CKO45" s="482"/>
      <c r="CKP45" s="312"/>
      <c r="CKQ45" s="656"/>
      <c r="CKR45" s="657"/>
      <c r="CKS45" s="656"/>
      <c r="CKT45" s="657"/>
      <c r="CKU45" s="656"/>
      <c r="CKV45" s="658"/>
      <c r="CKW45" s="656"/>
      <c r="CKX45" s="658"/>
      <c r="CLA45" s="288"/>
      <c r="CLB45" s="312"/>
      <c r="CLC45" s="482"/>
      <c r="CLD45" s="312"/>
      <c r="CLE45" s="656"/>
      <c r="CLF45" s="657"/>
      <c r="CLG45" s="656"/>
      <c r="CLH45" s="657"/>
      <c r="CLI45" s="656"/>
      <c r="CLJ45" s="658"/>
      <c r="CLK45" s="656"/>
      <c r="CLL45" s="658"/>
      <c r="CLO45" s="288"/>
      <c r="CLP45" s="312"/>
      <c r="CLQ45" s="482"/>
      <c r="CLR45" s="312"/>
      <c r="CLS45" s="656"/>
      <c r="CLT45" s="657"/>
      <c r="CLU45" s="656"/>
      <c r="CLV45" s="657"/>
      <c r="CLW45" s="656"/>
      <c r="CLX45" s="658"/>
      <c r="CLY45" s="656"/>
      <c r="CLZ45" s="658"/>
      <c r="CMC45" s="288"/>
      <c r="CMD45" s="312"/>
      <c r="CME45" s="482"/>
      <c r="CMF45" s="312"/>
      <c r="CMG45" s="656"/>
      <c r="CMH45" s="657"/>
      <c r="CMI45" s="656"/>
      <c r="CMJ45" s="657"/>
      <c r="CMK45" s="656"/>
      <c r="CML45" s="658"/>
      <c r="CMM45" s="656"/>
      <c r="CMN45" s="658"/>
      <c r="CMQ45" s="288"/>
      <c r="CMR45" s="312"/>
      <c r="CMS45" s="482"/>
      <c r="CMT45" s="312"/>
      <c r="CMU45" s="656"/>
      <c r="CMV45" s="657"/>
      <c r="CMW45" s="656"/>
      <c r="CMX45" s="657"/>
      <c r="CMY45" s="656"/>
      <c r="CMZ45" s="658"/>
      <c r="CNA45" s="656"/>
      <c r="CNB45" s="658"/>
      <c r="CNE45" s="288"/>
      <c r="CNF45" s="312"/>
      <c r="CNG45" s="482"/>
      <c r="CNH45" s="312"/>
      <c r="CNI45" s="656"/>
      <c r="CNJ45" s="657"/>
      <c r="CNK45" s="656"/>
      <c r="CNL45" s="657"/>
      <c r="CNM45" s="656"/>
      <c r="CNN45" s="658"/>
      <c r="CNO45" s="656"/>
      <c r="CNP45" s="658"/>
      <c r="CNS45" s="288"/>
      <c r="CNT45" s="312"/>
      <c r="CNU45" s="482"/>
      <c r="CNV45" s="312"/>
      <c r="CNW45" s="656"/>
      <c r="CNX45" s="657"/>
      <c r="CNY45" s="656"/>
      <c r="CNZ45" s="657"/>
      <c r="COA45" s="656"/>
      <c r="COB45" s="658"/>
      <c r="COC45" s="656"/>
      <c r="COD45" s="658"/>
      <c r="COG45" s="288"/>
      <c r="COH45" s="312"/>
      <c r="COI45" s="482"/>
      <c r="COJ45" s="312"/>
      <c r="COK45" s="656"/>
      <c r="COL45" s="657"/>
      <c r="COM45" s="656"/>
      <c r="CON45" s="657"/>
      <c r="COO45" s="656"/>
      <c r="COP45" s="658"/>
      <c r="COQ45" s="656"/>
      <c r="COR45" s="658"/>
      <c r="COU45" s="288"/>
      <c r="COV45" s="312"/>
      <c r="COW45" s="482"/>
      <c r="COX45" s="312"/>
      <c r="COY45" s="656"/>
      <c r="COZ45" s="657"/>
      <c r="CPA45" s="656"/>
      <c r="CPB45" s="657"/>
      <c r="CPC45" s="656"/>
      <c r="CPD45" s="658"/>
      <c r="CPE45" s="656"/>
      <c r="CPF45" s="658"/>
      <c r="CPI45" s="288"/>
      <c r="CPJ45" s="312"/>
      <c r="CPK45" s="482"/>
      <c r="CPL45" s="312"/>
      <c r="CPM45" s="656"/>
      <c r="CPN45" s="657"/>
      <c r="CPO45" s="656"/>
      <c r="CPP45" s="657"/>
      <c r="CPQ45" s="656"/>
      <c r="CPR45" s="658"/>
      <c r="CPS45" s="656"/>
      <c r="CPT45" s="658"/>
      <c r="CPW45" s="288"/>
      <c r="CPX45" s="312"/>
      <c r="CPY45" s="482"/>
      <c r="CPZ45" s="312"/>
      <c r="CQA45" s="656"/>
      <c r="CQB45" s="657"/>
      <c r="CQC45" s="656"/>
      <c r="CQD45" s="657"/>
      <c r="CQE45" s="656"/>
      <c r="CQF45" s="658"/>
      <c r="CQG45" s="656"/>
      <c r="CQH45" s="658"/>
      <c r="CQK45" s="288"/>
      <c r="CQL45" s="312"/>
      <c r="CQM45" s="482"/>
      <c r="CQN45" s="312"/>
      <c r="CQO45" s="656"/>
      <c r="CQP45" s="657"/>
      <c r="CQQ45" s="656"/>
      <c r="CQR45" s="657"/>
      <c r="CQS45" s="656"/>
      <c r="CQT45" s="658"/>
      <c r="CQU45" s="656"/>
      <c r="CQV45" s="658"/>
      <c r="CQY45" s="288"/>
      <c r="CQZ45" s="312"/>
      <c r="CRA45" s="482"/>
      <c r="CRB45" s="312"/>
      <c r="CRC45" s="656"/>
      <c r="CRD45" s="657"/>
      <c r="CRE45" s="656"/>
      <c r="CRF45" s="657"/>
      <c r="CRG45" s="656"/>
      <c r="CRH45" s="658"/>
      <c r="CRI45" s="656"/>
      <c r="CRJ45" s="658"/>
      <c r="CRM45" s="288"/>
      <c r="CRN45" s="312"/>
      <c r="CRO45" s="482"/>
      <c r="CRP45" s="312"/>
      <c r="CRQ45" s="656"/>
      <c r="CRR45" s="657"/>
      <c r="CRS45" s="656"/>
      <c r="CRT45" s="657"/>
      <c r="CRU45" s="656"/>
      <c r="CRV45" s="658"/>
      <c r="CRW45" s="656"/>
      <c r="CRX45" s="658"/>
      <c r="CSA45" s="288"/>
      <c r="CSB45" s="312"/>
      <c r="CSC45" s="482"/>
      <c r="CSD45" s="312"/>
      <c r="CSE45" s="656"/>
      <c r="CSF45" s="657"/>
      <c r="CSG45" s="656"/>
      <c r="CSH45" s="657"/>
      <c r="CSI45" s="656"/>
      <c r="CSJ45" s="658"/>
      <c r="CSK45" s="656"/>
      <c r="CSL45" s="658"/>
      <c r="CSO45" s="288"/>
      <c r="CSP45" s="312"/>
      <c r="CSQ45" s="482"/>
      <c r="CSR45" s="312"/>
      <c r="CSS45" s="656"/>
      <c r="CST45" s="657"/>
      <c r="CSU45" s="656"/>
      <c r="CSV45" s="657"/>
      <c r="CSW45" s="656"/>
      <c r="CSX45" s="658"/>
      <c r="CSY45" s="656"/>
      <c r="CSZ45" s="658"/>
      <c r="CTC45" s="288"/>
      <c r="CTD45" s="312"/>
      <c r="CTE45" s="482"/>
      <c r="CTF45" s="312"/>
      <c r="CTG45" s="656"/>
      <c r="CTH45" s="657"/>
      <c r="CTI45" s="656"/>
      <c r="CTJ45" s="657"/>
      <c r="CTK45" s="656"/>
      <c r="CTL45" s="658"/>
      <c r="CTM45" s="656"/>
      <c r="CTN45" s="658"/>
      <c r="CTQ45" s="288"/>
      <c r="CTR45" s="312"/>
      <c r="CTS45" s="482"/>
      <c r="CTT45" s="312"/>
      <c r="CTU45" s="656"/>
      <c r="CTV45" s="657"/>
      <c r="CTW45" s="656"/>
      <c r="CTX45" s="657"/>
      <c r="CTY45" s="656"/>
      <c r="CTZ45" s="658"/>
      <c r="CUA45" s="656"/>
      <c r="CUB45" s="658"/>
      <c r="CUE45" s="288"/>
      <c r="CUF45" s="312"/>
      <c r="CUG45" s="482"/>
      <c r="CUH45" s="312"/>
      <c r="CUI45" s="656"/>
      <c r="CUJ45" s="657"/>
      <c r="CUK45" s="656"/>
      <c r="CUL45" s="657"/>
      <c r="CUM45" s="656"/>
      <c r="CUN45" s="658"/>
      <c r="CUO45" s="656"/>
      <c r="CUP45" s="658"/>
      <c r="CUS45" s="288"/>
      <c r="CUT45" s="312"/>
      <c r="CUU45" s="482"/>
      <c r="CUV45" s="312"/>
      <c r="CUW45" s="656"/>
      <c r="CUX45" s="657"/>
      <c r="CUY45" s="656"/>
      <c r="CUZ45" s="657"/>
      <c r="CVA45" s="656"/>
      <c r="CVB45" s="658"/>
      <c r="CVC45" s="656"/>
      <c r="CVD45" s="658"/>
      <c r="CVG45" s="288"/>
      <c r="CVH45" s="312"/>
      <c r="CVI45" s="482"/>
      <c r="CVJ45" s="312"/>
      <c r="CVK45" s="656"/>
      <c r="CVL45" s="657"/>
      <c r="CVM45" s="656"/>
      <c r="CVN45" s="657"/>
      <c r="CVO45" s="656"/>
      <c r="CVP45" s="658"/>
      <c r="CVQ45" s="656"/>
      <c r="CVR45" s="658"/>
      <c r="CVU45" s="288"/>
      <c r="CVV45" s="312"/>
      <c r="CVW45" s="482"/>
      <c r="CVX45" s="312"/>
      <c r="CVY45" s="656"/>
      <c r="CVZ45" s="657"/>
      <c r="CWA45" s="656"/>
      <c r="CWB45" s="657"/>
      <c r="CWC45" s="656"/>
      <c r="CWD45" s="658"/>
      <c r="CWE45" s="656"/>
      <c r="CWF45" s="658"/>
      <c r="CWI45" s="288"/>
      <c r="CWJ45" s="312"/>
      <c r="CWK45" s="482"/>
      <c r="CWL45" s="312"/>
      <c r="CWM45" s="656"/>
      <c r="CWN45" s="657"/>
      <c r="CWO45" s="656"/>
      <c r="CWP45" s="657"/>
      <c r="CWQ45" s="656"/>
      <c r="CWR45" s="658"/>
      <c r="CWS45" s="656"/>
      <c r="CWT45" s="658"/>
      <c r="CWW45" s="288"/>
      <c r="CWX45" s="312"/>
      <c r="CWY45" s="482"/>
      <c r="CWZ45" s="312"/>
      <c r="CXA45" s="656"/>
      <c r="CXB45" s="657"/>
      <c r="CXC45" s="656"/>
      <c r="CXD45" s="657"/>
      <c r="CXE45" s="656"/>
      <c r="CXF45" s="658"/>
      <c r="CXG45" s="656"/>
      <c r="CXH45" s="658"/>
      <c r="CXK45" s="288"/>
      <c r="CXL45" s="312"/>
      <c r="CXM45" s="482"/>
      <c r="CXN45" s="312"/>
      <c r="CXO45" s="656"/>
      <c r="CXP45" s="657"/>
      <c r="CXQ45" s="656"/>
      <c r="CXR45" s="657"/>
      <c r="CXS45" s="656"/>
      <c r="CXT45" s="658"/>
      <c r="CXU45" s="656"/>
      <c r="CXV45" s="658"/>
      <c r="CXY45" s="288"/>
      <c r="CXZ45" s="312"/>
      <c r="CYA45" s="482"/>
      <c r="CYB45" s="312"/>
      <c r="CYC45" s="656"/>
      <c r="CYD45" s="657"/>
      <c r="CYE45" s="656"/>
      <c r="CYF45" s="657"/>
      <c r="CYG45" s="656"/>
      <c r="CYH45" s="658"/>
      <c r="CYI45" s="656"/>
      <c r="CYJ45" s="658"/>
      <c r="CYM45" s="288"/>
      <c r="CYN45" s="312"/>
      <c r="CYO45" s="482"/>
      <c r="CYP45" s="312"/>
      <c r="CYQ45" s="656"/>
      <c r="CYR45" s="657"/>
      <c r="CYS45" s="656"/>
      <c r="CYT45" s="657"/>
      <c r="CYU45" s="656"/>
      <c r="CYV45" s="658"/>
      <c r="CYW45" s="656"/>
      <c r="CYX45" s="658"/>
      <c r="CZA45" s="288"/>
      <c r="CZB45" s="312"/>
      <c r="CZC45" s="482"/>
      <c r="CZD45" s="312"/>
      <c r="CZE45" s="656"/>
      <c r="CZF45" s="657"/>
      <c r="CZG45" s="656"/>
      <c r="CZH45" s="657"/>
      <c r="CZI45" s="656"/>
      <c r="CZJ45" s="658"/>
      <c r="CZK45" s="656"/>
      <c r="CZL45" s="658"/>
      <c r="CZO45" s="288"/>
      <c r="CZP45" s="312"/>
      <c r="CZQ45" s="482"/>
      <c r="CZR45" s="312"/>
      <c r="CZS45" s="656"/>
      <c r="CZT45" s="657"/>
      <c r="CZU45" s="656"/>
      <c r="CZV45" s="657"/>
      <c r="CZW45" s="656"/>
      <c r="CZX45" s="658"/>
      <c r="CZY45" s="656"/>
      <c r="CZZ45" s="658"/>
      <c r="DAC45" s="288"/>
      <c r="DAD45" s="312"/>
      <c r="DAE45" s="482"/>
      <c r="DAF45" s="312"/>
      <c r="DAG45" s="656"/>
      <c r="DAH45" s="657"/>
      <c r="DAI45" s="656"/>
      <c r="DAJ45" s="657"/>
      <c r="DAK45" s="656"/>
      <c r="DAL45" s="658"/>
      <c r="DAM45" s="656"/>
      <c r="DAN45" s="658"/>
      <c r="DAQ45" s="288"/>
      <c r="DAR45" s="312"/>
      <c r="DAS45" s="482"/>
      <c r="DAT45" s="312"/>
      <c r="DAU45" s="656"/>
      <c r="DAV45" s="657"/>
      <c r="DAW45" s="656"/>
      <c r="DAX45" s="657"/>
      <c r="DAY45" s="656"/>
      <c r="DAZ45" s="658"/>
      <c r="DBA45" s="656"/>
      <c r="DBB45" s="658"/>
      <c r="DBE45" s="288"/>
      <c r="DBF45" s="312"/>
      <c r="DBG45" s="482"/>
      <c r="DBH45" s="312"/>
      <c r="DBI45" s="656"/>
      <c r="DBJ45" s="657"/>
      <c r="DBK45" s="656"/>
      <c r="DBL45" s="657"/>
      <c r="DBM45" s="656"/>
      <c r="DBN45" s="658"/>
      <c r="DBO45" s="656"/>
      <c r="DBP45" s="658"/>
      <c r="DBS45" s="288"/>
      <c r="DBT45" s="312"/>
      <c r="DBU45" s="482"/>
      <c r="DBV45" s="312"/>
      <c r="DBW45" s="656"/>
      <c r="DBX45" s="657"/>
      <c r="DBY45" s="656"/>
      <c r="DBZ45" s="657"/>
      <c r="DCA45" s="656"/>
      <c r="DCB45" s="658"/>
      <c r="DCC45" s="656"/>
      <c r="DCD45" s="658"/>
      <c r="DCG45" s="288"/>
      <c r="DCH45" s="312"/>
      <c r="DCI45" s="482"/>
      <c r="DCJ45" s="312"/>
      <c r="DCK45" s="656"/>
      <c r="DCL45" s="657"/>
      <c r="DCM45" s="656"/>
      <c r="DCN45" s="657"/>
      <c r="DCO45" s="656"/>
      <c r="DCP45" s="658"/>
      <c r="DCQ45" s="656"/>
      <c r="DCR45" s="658"/>
      <c r="DCU45" s="288"/>
      <c r="DCV45" s="312"/>
      <c r="DCW45" s="482"/>
      <c r="DCX45" s="312"/>
      <c r="DCY45" s="656"/>
      <c r="DCZ45" s="657"/>
      <c r="DDA45" s="656"/>
      <c r="DDB45" s="657"/>
      <c r="DDC45" s="656"/>
      <c r="DDD45" s="658"/>
      <c r="DDE45" s="656"/>
      <c r="DDF45" s="658"/>
      <c r="DDI45" s="288"/>
      <c r="DDJ45" s="312"/>
      <c r="DDK45" s="482"/>
      <c r="DDL45" s="312"/>
      <c r="DDM45" s="656"/>
      <c r="DDN45" s="657"/>
      <c r="DDO45" s="656"/>
      <c r="DDP45" s="657"/>
      <c r="DDQ45" s="656"/>
      <c r="DDR45" s="658"/>
      <c r="DDS45" s="656"/>
      <c r="DDT45" s="658"/>
      <c r="DDW45" s="288"/>
      <c r="DDX45" s="312"/>
      <c r="DDY45" s="482"/>
      <c r="DDZ45" s="312"/>
      <c r="DEA45" s="656"/>
      <c r="DEB45" s="657"/>
      <c r="DEC45" s="656"/>
      <c r="DED45" s="657"/>
      <c r="DEE45" s="656"/>
      <c r="DEF45" s="658"/>
      <c r="DEG45" s="656"/>
      <c r="DEH45" s="658"/>
      <c r="DEK45" s="288"/>
      <c r="DEL45" s="312"/>
      <c r="DEM45" s="482"/>
      <c r="DEN45" s="312"/>
      <c r="DEO45" s="656"/>
      <c r="DEP45" s="657"/>
      <c r="DEQ45" s="656"/>
      <c r="DER45" s="657"/>
      <c r="DES45" s="656"/>
      <c r="DET45" s="658"/>
      <c r="DEU45" s="656"/>
      <c r="DEV45" s="658"/>
      <c r="DEY45" s="288"/>
      <c r="DEZ45" s="312"/>
      <c r="DFA45" s="482"/>
      <c r="DFB45" s="312"/>
      <c r="DFC45" s="656"/>
      <c r="DFD45" s="657"/>
      <c r="DFE45" s="656"/>
      <c r="DFF45" s="657"/>
      <c r="DFG45" s="656"/>
      <c r="DFH45" s="658"/>
      <c r="DFI45" s="656"/>
      <c r="DFJ45" s="658"/>
      <c r="DFM45" s="288"/>
      <c r="DFN45" s="312"/>
      <c r="DFO45" s="482"/>
      <c r="DFP45" s="312"/>
      <c r="DFQ45" s="656"/>
      <c r="DFR45" s="657"/>
      <c r="DFS45" s="656"/>
      <c r="DFT45" s="657"/>
      <c r="DFU45" s="656"/>
      <c r="DFV45" s="658"/>
      <c r="DFW45" s="656"/>
      <c r="DFX45" s="658"/>
      <c r="DGA45" s="288"/>
      <c r="DGB45" s="312"/>
      <c r="DGC45" s="482"/>
      <c r="DGD45" s="312"/>
      <c r="DGE45" s="656"/>
      <c r="DGF45" s="657"/>
      <c r="DGG45" s="656"/>
      <c r="DGH45" s="657"/>
      <c r="DGI45" s="656"/>
      <c r="DGJ45" s="658"/>
      <c r="DGK45" s="656"/>
      <c r="DGL45" s="658"/>
      <c r="DGO45" s="288"/>
      <c r="DGP45" s="312"/>
      <c r="DGQ45" s="482"/>
      <c r="DGR45" s="312"/>
      <c r="DGS45" s="656"/>
      <c r="DGT45" s="657"/>
      <c r="DGU45" s="656"/>
      <c r="DGV45" s="657"/>
      <c r="DGW45" s="656"/>
      <c r="DGX45" s="658"/>
      <c r="DGY45" s="656"/>
      <c r="DGZ45" s="658"/>
      <c r="DHC45" s="288"/>
      <c r="DHD45" s="312"/>
      <c r="DHE45" s="482"/>
      <c r="DHF45" s="312"/>
      <c r="DHG45" s="656"/>
      <c r="DHH45" s="657"/>
      <c r="DHI45" s="656"/>
      <c r="DHJ45" s="657"/>
      <c r="DHK45" s="656"/>
      <c r="DHL45" s="658"/>
      <c r="DHM45" s="656"/>
      <c r="DHN45" s="658"/>
      <c r="DHQ45" s="288"/>
      <c r="DHR45" s="312"/>
      <c r="DHS45" s="482"/>
      <c r="DHT45" s="312"/>
      <c r="DHU45" s="656"/>
      <c r="DHV45" s="657"/>
      <c r="DHW45" s="656"/>
      <c r="DHX45" s="657"/>
      <c r="DHY45" s="656"/>
      <c r="DHZ45" s="658"/>
      <c r="DIA45" s="656"/>
      <c r="DIB45" s="658"/>
      <c r="DIE45" s="288"/>
      <c r="DIF45" s="312"/>
      <c r="DIG45" s="482"/>
      <c r="DIH45" s="312"/>
      <c r="DII45" s="656"/>
      <c r="DIJ45" s="657"/>
      <c r="DIK45" s="656"/>
      <c r="DIL45" s="657"/>
      <c r="DIM45" s="656"/>
      <c r="DIN45" s="658"/>
      <c r="DIO45" s="656"/>
      <c r="DIP45" s="658"/>
      <c r="DIS45" s="288"/>
      <c r="DIT45" s="312"/>
      <c r="DIU45" s="482"/>
      <c r="DIV45" s="312"/>
      <c r="DIW45" s="656"/>
      <c r="DIX45" s="657"/>
      <c r="DIY45" s="656"/>
      <c r="DIZ45" s="657"/>
      <c r="DJA45" s="656"/>
      <c r="DJB45" s="658"/>
      <c r="DJC45" s="656"/>
      <c r="DJD45" s="658"/>
      <c r="DJG45" s="288"/>
      <c r="DJH45" s="312"/>
      <c r="DJI45" s="482"/>
      <c r="DJJ45" s="312"/>
      <c r="DJK45" s="656"/>
      <c r="DJL45" s="657"/>
      <c r="DJM45" s="656"/>
      <c r="DJN45" s="657"/>
      <c r="DJO45" s="656"/>
      <c r="DJP45" s="658"/>
      <c r="DJQ45" s="656"/>
      <c r="DJR45" s="658"/>
      <c r="DJU45" s="288"/>
      <c r="DJV45" s="312"/>
      <c r="DJW45" s="482"/>
      <c r="DJX45" s="312"/>
      <c r="DJY45" s="656"/>
      <c r="DJZ45" s="657"/>
      <c r="DKA45" s="656"/>
      <c r="DKB45" s="657"/>
      <c r="DKC45" s="656"/>
      <c r="DKD45" s="658"/>
      <c r="DKE45" s="656"/>
      <c r="DKF45" s="658"/>
      <c r="DKI45" s="288"/>
      <c r="DKJ45" s="312"/>
      <c r="DKK45" s="482"/>
      <c r="DKL45" s="312"/>
      <c r="DKM45" s="656"/>
      <c r="DKN45" s="657"/>
      <c r="DKO45" s="656"/>
      <c r="DKP45" s="657"/>
      <c r="DKQ45" s="656"/>
      <c r="DKR45" s="658"/>
      <c r="DKS45" s="656"/>
      <c r="DKT45" s="658"/>
      <c r="DKW45" s="288"/>
      <c r="DKX45" s="312"/>
      <c r="DKY45" s="482"/>
      <c r="DKZ45" s="312"/>
      <c r="DLA45" s="656"/>
      <c r="DLB45" s="657"/>
      <c r="DLC45" s="656"/>
      <c r="DLD45" s="657"/>
      <c r="DLE45" s="656"/>
      <c r="DLF45" s="658"/>
      <c r="DLG45" s="656"/>
      <c r="DLH45" s="658"/>
      <c r="DLK45" s="288"/>
      <c r="DLL45" s="312"/>
      <c r="DLM45" s="482"/>
      <c r="DLN45" s="312"/>
      <c r="DLO45" s="656"/>
      <c r="DLP45" s="657"/>
      <c r="DLQ45" s="656"/>
      <c r="DLR45" s="657"/>
      <c r="DLS45" s="656"/>
      <c r="DLT45" s="658"/>
      <c r="DLU45" s="656"/>
      <c r="DLV45" s="658"/>
      <c r="DLY45" s="288"/>
      <c r="DLZ45" s="312"/>
      <c r="DMA45" s="482"/>
      <c r="DMB45" s="312"/>
      <c r="DMC45" s="656"/>
      <c r="DMD45" s="657"/>
      <c r="DME45" s="656"/>
      <c r="DMF45" s="657"/>
      <c r="DMG45" s="656"/>
      <c r="DMH45" s="658"/>
      <c r="DMI45" s="656"/>
      <c r="DMJ45" s="658"/>
      <c r="DMM45" s="288"/>
      <c r="DMN45" s="312"/>
      <c r="DMO45" s="482"/>
      <c r="DMP45" s="312"/>
      <c r="DMQ45" s="656"/>
      <c r="DMR45" s="657"/>
      <c r="DMS45" s="656"/>
      <c r="DMT45" s="657"/>
      <c r="DMU45" s="656"/>
      <c r="DMV45" s="658"/>
      <c r="DMW45" s="656"/>
      <c r="DMX45" s="658"/>
      <c r="DNA45" s="288"/>
      <c r="DNB45" s="312"/>
      <c r="DNC45" s="482"/>
      <c r="DND45" s="312"/>
      <c r="DNE45" s="656"/>
      <c r="DNF45" s="657"/>
      <c r="DNG45" s="656"/>
      <c r="DNH45" s="657"/>
      <c r="DNI45" s="656"/>
      <c r="DNJ45" s="658"/>
      <c r="DNK45" s="656"/>
      <c r="DNL45" s="658"/>
      <c r="DNO45" s="288"/>
      <c r="DNP45" s="312"/>
      <c r="DNQ45" s="482"/>
      <c r="DNR45" s="312"/>
      <c r="DNS45" s="656"/>
      <c r="DNT45" s="657"/>
      <c r="DNU45" s="656"/>
      <c r="DNV45" s="657"/>
      <c r="DNW45" s="656"/>
      <c r="DNX45" s="658"/>
      <c r="DNY45" s="656"/>
      <c r="DNZ45" s="658"/>
      <c r="DOC45" s="288"/>
      <c r="DOD45" s="312"/>
      <c r="DOE45" s="482"/>
      <c r="DOF45" s="312"/>
      <c r="DOG45" s="656"/>
      <c r="DOH45" s="657"/>
      <c r="DOI45" s="656"/>
      <c r="DOJ45" s="657"/>
      <c r="DOK45" s="656"/>
      <c r="DOL45" s="658"/>
      <c r="DOM45" s="656"/>
      <c r="DON45" s="658"/>
      <c r="DOQ45" s="288"/>
      <c r="DOR45" s="312"/>
      <c r="DOS45" s="482"/>
      <c r="DOT45" s="312"/>
      <c r="DOU45" s="656"/>
      <c r="DOV45" s="657"/>
      <c r="DOW45" s="656"/>
      <c r="DOX45" s="657"/>
      <c r="DOY45" s="656"/>
      <c r="DOZ45" s="658"/>
      <c r="DPA45" s="656"/>
      <c r="DPB45" s="658"/>
      <c r="DPE45" s="288"/>
      <c r="DPF45" s="312"/>
      <c r="DPG45" s="482"/>
      <c r="DPH45" s="312"/>
      <c r="DPI45" s="656"/>
      <c r="DPJ45" s="657"/>
      <c r="DPK45" s="656"/>
      <c r="DPL45" s="657"/>
      <c r="DPM45" s="656"/>
      <c r="DPN45" s="658"/>
      <c r="DPO45" s="656"/>
      <c r="DPP45" s="658"/>
      <c r="DPS45" s="288"/>
      <c r="DPT45" s="312"/>
      <c r="DPU45" s="482"/>
      <c r="DPV45" s="312"/>
      <c r="DPW45" s="656"/>
      <c r="DPX45" s="657"/>
      <c r="DPY45" s="656"/>
      <c r="DPZ45" s="657"/>
      <c r="DQA45" s="656"/>
      <c r="DQB45" s="658"/>
      <c r="DQC45" s="656"/>
      <c r="DQD45" s="658"/>
      <c r="DQG45" s="288"/>
      <c r="DQH45" s="312"/>
      <c r="DQI45" s="482"/>
      <c r="DQJ45" s="312"/>
      <c r="DQK45" s="656"/>
      <c r="DQL45" s="657"/>
      <c r="DQM45" s="656"/>
      <c r="DQN45" s="657"/>
      <c r="DQO45" s="656"/>
      <c r="DQP45" s="658"/>
      <c r="DQQ45" s="656"/>
      <c r="DQR45" s="658"/>
      <c r="DQU45" s="288"/>
      <c r="DQV45" s="312"/>
      <c r="DQW45" s="482"/>
      <c r="DQX45" s="312"/>
      <c r="DQY45" s="656"/>
      <c r="DQZ45" s="657"/>
      <c r="DRA45" s="656"/>
      <c r="DRB45" s="657"/>
      <c r="DRC45" s="656"/>
      <c r="DRD45" s="658"/>
      <c r="DRE45" s="656"/>
      <c r="DRF45" s="658"/>
      <c r="DRI45" s="288"/>
      <c r="DRJ45" s="312"/>
      <c r="DRK45" s="482"/>
      <c r="DRL45" s="312"/>
      <c r="DRM45" s="656"/>
      <c r="DRN45" s="657"/>
      <c r="DRO45" s="656"/>
      <c r="DRP45" s="657"/>
      <c r="DRQ45" s="656"/>
      <c r="DRR45" s="658"/>
      <c r="DRS45" s="656"/>
      <c r="DRT45" s="658"/>
      <c r="DRW45" s="288"/>
      <c r="DRX45" s="312"/>
      <c r="DRY45" s="482"/>
      <c r="DRZ45" s="312"/>
      <c r="DSA45" s="656"/>
      <c r="DSB45" s="657"/>
      <c r="DSC45" s="656"/>
      <c r="DSD45" s="657"/>
      <c r="DSE45" s="656"/>
      <c r="DSF45" s="658"/>
      <c r="DSG45" s="656"/>
      <c r="DSH45" s="658"/>
      <c r="DSK45" s="288"/>
      <c r="DSL45" s="312"/>
      <c r="DSM45" s="482"/>
      <c r="DSN45" s="312"/>
      <c r="DSO45" s="656"/>
      <c r="DSP45" s="657"/>
      <c r="DSQ45" s="656"/>
      <c r="DSR45" s="657"/>
      <c r="DSS45" s="656"/>
      <c r="DST45" s="658"/>
      <c r="DSU45" s="656"/>
      <c r="DSV45" s="658"/>
      <c r="DSY45" s="288"/>
      <c r="DSZ45" s="312"/>
      <c r="DTA45" s="482"/>
      <c r="DTB45" s="312"/>
      <c r="DTC45" s="656"/>
      <c r="DTD45" s="657"/>
      <c r="DTE45" s="656"/>
      <c r="DTF45" s="657"/>
      <c r="DTG45" s="656"/>
      <c r="DTH45" s="658"/>
      <c r="DTI45" s="656"/>
      <c r="DTJ45" s="658"/>
      <c r="DTM45" s="288"/>
      <c r="DTN45" s="312"/>
      <c r="DTO45" s="482"/>
      <c r="DTP45" s="312"/>
      <c r="DTQ45" s="656"/>
      <c r="DTR45" s="657"/>
      <c r="DTS45" s="656"/>
      <c r="DTT45" s="657"/>
      <c r="DTU45" s="656"/>
      <c r="DTV45" s="658"/>
      <c r="DTW45" s="656"/>
      <c r="DTX45" s="658"/>
      <c r="DUA45" s="288"/>
      <c r="DUB45" s="312"/>
      <c r="DUC45" s="482"/>
      <c r="DUD45" s="312"/>
      <c r="DUE45" s="656"/>
      <c r="DUF45" s="657"/>
      <c r="DUG45" s="656"/>
      <c r="DUH45" s="657"/>
      <c r="DUI45" s="656"/>
      <c r="DUJ45" s="658"/>
      <c r="DUK45" s="656"/>
      <c r="DUL45" s="658"/>
      <c r="DUO45" s="288"/>
      <c r="DUP45" s="312"/>
      <c r="DUQ45" s="482"/>
      <c r="DUR45" s="312"/>
      <c r="DUS45" s="656"/>
      <c r="DUT45" s="657"/>
      <c r="DUU45" s="656"/>
      <c r="DUV45" s="657"/>
      <c r="DUW45" s="656"/>
      <c r="DUX45" s="658"/>
      <c r="DUY45" s="656"/>
      <c r="DUZ45" s="658"/>
      <c r="DVC45" s="288"/>
      <c r="DVD45" s="312"/>
      <c r="DVE45" s="482"/>
      <c r="DVF45" s="312"/>
      <c r="DVG45" s="656"/>
      <c r="DVH45" s="657"/>
      <c r="DVI45" s="656"/>
      <c r="DVJ45" s="657"/>
      <c r="DVK45" s="656"/>
      <c r="DVL45" s="658"/>
      <c r="DVM45" s="656"/>
      <c r="DVN45" s="658"/>
      <c r="DVQ45" s="288"/>
      <c r="DVR45" s="312"/>
      <c r="DVS45" s="482"/>
      <c r="DVT45" s="312"/>
      <c r="DVU45" s="656"/>
      <c r="DVV45" s="657"/>
      <c r="DVW45" s="656"/>
      <c r="DVX45" s="657"/>
      <c r="DVY45" s="656"/>
      <c r="DVZ45" s="658"/>
      <c r="DWA45" s="656"/>
      <c r="DWB45" s="658"/>
      <c r="DWE45" s="288"/>
      <c r="DWF45" s="312"/>
      <c r="DWG45" s="482"/>
      <c r="DWH45" s="312"/>
      <c r="DWI45" s="656"/>
      <c r="DWJ45" s="657"/>
      <c r="DWK45" s="656"/>
      <c r="DWL45" s="657"/>
      <c r="DWM45" s="656"/>
      <c r="DWN45" s="658"/>
      <c r="DWO45" s="656"/>
      <c r="DWP45" s="658"/>
      <c r="DWS45" s="288"/>
      <c r="DWT45" s="312"/>
      <c r="DWU45" s="482"/>
      <c r="DWV45" s="312"/>
      <c r="DWW45" s="656"/>
      <c r="DWX45" s="657"/>
      <c r="DWY45" s="656"/>
      <c r="DWZ45" s="657"/>
      <c r="DXA45" s="656"/>
      <c r="DXB45" s="658"/>
      <c r="DXC45" s="656"/>
      <c r="DXD45" s="658"/>
      <c r="DXG45" s="288"/>
      <c r="DXH45" s="312"/>
      <c r="DXI45" s="482"/>
      <c r="DXJ45" s="312"/>
      <c r="DXK45" s="656"/>
      <c r="DXL45" s="657"/>
      <c r="DXM45" s="656"/>
      <c r="DXN45" s="657"/>
      <c r="DXO45" s="656"/>
      <c r="DXP45" s="658"/>
      <c r="DXQ45" s="656"/>
      <c r="DXR45" s="658"/>
      <c r="DXU45" s="288"/>
      <c r="DXV45" s="312"/>
      <c r="DXW45" s="482"/>
      <c r="DXX45" s="312"/>
      <c r="DXY45" s="656"/>
      <c r="DXZ45" s="657"/>
      <c r="DYA45" s="656"/>
      <c r="DYB45" s="657"/>
      <c r="DYC45" s="656"/>
      <c r="DYD45" s="658"/>
      <c r="DYE45" s="656"/>
      <c r="DYF45" s="658"/>
      <c r="DYI45" s="288"/>
      <c r="DYJ45" s="312"/>
      <c r="DYK45" s="482"/>
      <c r="DYL45" s="312"/>
      <c r="DYM45" s="656"/>
      <c r="DYN45" s="657"/>
      <c r="DYO45" s="656"/>
      <c r="DYP45" s="657"/>
      <c r="DYQ45" s="656"/>
      <c r="DYR45" s="658"/>
      <c r="DYS45" s="656"/>
      <c r="DYT45" s="658"/>
      <c r="DYW45" s="288"/>
      <c r="DYX45" s="312"/>
      <c r="DYY45" s="482"/>
      <c r="DYZ45" s="312"/>
      <c r="DZA45" s="656"/>
      <c r="DZB45" s="657"/>
      <c r="DZC45" s="656"/>
      <c r="DZD45" s="657"/>
      <c r="DZE45" s="656"/>
      <c r="DZF45" s="658"/>
      <c r="DZG45" s="656"/>
      <c r="DZH45" s="658"/>
      <c r="DZK45" s="288"/>
      <c r="DZL45" s="312"/>
      <c r="DZM45" s="482"/>
      <c r="DZN45" s="312"/>
      <c r="DZO45" s="656"/>
      <c r="DZP45" s="657"/>
      <c r="DZQ45" s="656"/>
      <c r="DZR45" s="657"/>
      <c r="DZS45" s="656"/>
      <c r="DZT45" s="658"/>
      <c r="DZU45" s="656"/>
      <c r="DZV45" s="658"/>
      <c r="DZY45" s="288"/>
      <c r="DZZ45" s="312"/>
      <c r="EAA45" s="482"/>
      <c r="EAB45" s="312"/>
      <c r="EAC45" s="656"/>
      <c r="EAD45" s="657"/>
      <c r="EAE45" s="656"/>
      <c r="EAF45" s="657"/>
      <c r="EAG45" s="656"/>
      <c r="EAH45" s="658"/>
      <c r="EAI45" s="656"/>
      <c r="EAJ45" s="658"/>
      <c r="EAM45" s="288"/>
      <c r="EAN45" s="312"/>
      <c r="EAO45" s="482"/>
      <c r="EAP45" s="312"/>
      <c r="EAQ45" s="656"/>
      <c r="EAR45" s="657"/>
      <c r="EAS45" s="656"/>
      <c r="EAT45" s="657"/>
      <c r="EAU45" s="656"/>
      <c r="EAV45" s="658"/>
      <c r="EAW45" s="656"/>
      <c r="EAX45" s="658"/>
      <c r="EBA45" s="288"/>
      <c r="EBB45" s="312"/>
      <c r="EBC45" s="482"/>
      <c r="EBD45" s="312"/>
      <c r="EBE45" s="656"/>
      <c r="EBF45" s="657"/>
      <c r="EBG45" s="656"/>
      <c r="EBH45" s="657"/>
      <c r="EBI45" s="656"/>
      <c r="EBJ45" s="658"/>
      <c r="EBK45" s="656"/>
      <c r="EBL45" s="658"/>
      <c r="EBO45" s="288"/>
      <c r="EBP45" s="312"/>
      <c r="EBQ45" s="482"/>
      <c r="EBR45" s="312"/>
      <c r="EBS45" s="656"/>
      <c r="EBT45" s="657"/>
      <c r="EBU45" s="656"/>
      <c r="EBV45" s="657"/>
      <c r="EBW45" s="656"/>
      <c r="EBX45" s="658"/>
      <c r="EBY45" s="656"/>
      <c r="EBZ45" s="658"/>
      <c r="ECC45" s="288"/>
      <c r="ECD45" s="312"/>
      <c r="ECE45" s="482"/>
      <c r="ECF45" s="312"/>
      <c r="ECG45" s="656"/>
      <c r="ECH45" s="657"/>
      <c r="ECI45" s="656"/>
      <c r="ECJ45" s="657"/>
      <c r="ECK45" s="656"/>
      <c r="ECL45" s="658"/>
      <c r="ECM45" s="656"/>
      <c r="ECN45" s="658"/>
      <c r="ECQ45" s="288"/>
      <c r="ECR45" s="312"/>
      <c r="ECS45" s="482"/>
      <c r="ECT45" s="312"/>
      <c r="ECU45" s="656"/>
      <c r="ECV45" s="657"/>
      <c r="ECW45" s="656"/>
      <c r="ECX45" s="657"/>
      <c r="ECY45" s="656"/>
      <c r="ECZ45" s="658"/>
      <c r="EDA45" s="656"/>
      <c r="EDB45" s="658"/>
      <c r="EDE45" s="288"/>
      <c r="EDF45" s="312"/>
      <c r="EDG45" s="482"/>
      <c r="EDH45" s="312"/>
      <c r="EDI45" s="656"/>
      <c r="EDJ45" s="657"/>
      <c r="EDK45" s="656"/>
      <c r="EDL45" s="657"/>
      <c r="EDM45" s="656"/>
      <c r="EDN45" s="658"/>
      <c r="EDO45" s="656"/>
      <c r="EDP45" s="658"/>
      <c r="EDS45" s="288"/>
      <c r="EDT45" s="312"/>
      <c r="EDU45" s="482"/>
      <c r="EDV45" s="312"/>
      <c r="EDW45" s="656"/>
      <c r="EDX45" s="657"/>
      <c r="EDY45" s="656"/>
      <c r="EDZ45" s="657"/>
      <c r="EEA45" s="656"/>
      <c r="EEB45" s="658"/>
      <c r="EEC45" s="656"/>
      <c r="EED45" s="658"/>
      <c r="EEG45" s="288"/>
      <c r="EEH45" s="312"/>
      <c r="EEI45" s="482"/>
      <c r="EEJ45" s="312"/>
      <c r="EEK45" s="656"/>
      <c r="EEL45" s="657"/>
      <c r="EEM45" s="656"/>
      <c r="EEN45" s="657"/>
      <c r="EEO45" s="656"/>
      <c r="EEP45" s="658"/>
      <c r="EEQ45" s="656"/>
      <c r="EER45" s="658"/>
      <c r="EEU45" s="288"/>
      <c r="EEV45" s="312"/>
      <c r="EEW45" s="482"/>
      <c r="EEX45" s="312"/>
      <c r="EEY45" s="656"/>
      <c r="EEZ45" s="657"/>
      <c r="EFA45" s="656"/>
      <c r="EFB45" s="657"/>
      <c r="EFC45" s="656"/>
      <c r="EFD45" s="658"/>
      <c r="EFE45" s="656"/>
      <c r="EFF45" s="658"/>
      <c r="EFI45" s="288"/>
      <c r="EFJ45" s="312"/>
      <c r="EFK45" s="482"/>
      <c r="EFL45" s="312"/>
      <c r="EFM45" s="656"/>
      <c r="EFN45" s="657"/>
      <c r="EFO45" s="656"/>
      <c r="EFP45" s="657"/>
      <c r="EFQ45" s="656"/>
      <c r="EFR45" s="658"/>
      <c r="EFS45" s="656"/>
      <c r="EFT45" s="658"/>
      <c r="EFW45" s="288"/>
      <c r="EFX45" s="312"/>
      <c r="EFY45" s="482"/>
      <c r="EFZ45" s="312"/>
      <c r="EGA45" s="656"/>
      <c r="EGB45" s="657"/>
      <c r="EGC45" s="656"/>
      <c r="EGD45" s="657"/>
      <c r="EGE45" s="656"/>
      <c r="EGF45" s="658"/>
      <c r="EGG45" s="656"/>
      <c r="EGH45" s="658"/>
      <c r="EGK45" s="288"/>
      <c r="EGL45" s="312"/>
      <c r="EGM45" s="482"/>
      <c r="EGN45" s="312"/>
      <c r="EGO45" s="656"/>
      <c r="EGP45" s="657"/>
      <c r="EGQ45" s="656"/>
      <c r="EGR45" s="657"/>
      <c r="EGS45" s="656"/>
      <c r="EGT45" s="658"/>
      <c r="EGU45" s="656"/>
      <c r="EGV45" s="658"/>
      <c r="EGY45" s="288"/>
      <c r="EGZ45" s="312"/>
      <c r="EHA45" s="482"/>
      <c r="EHB45" s="312"/>
      <c r="EHC45" s="656"/>
      <c r="EHD45" s="657"/>
      <c r="EHE45" s="656"/>
      <c r="EHF45" s="657"/>
      <c r="EHG45" s="656"/>
      <c r="EHH45" s="658"/>
      <c r="EHI45" s="656"/>
      <c r="EHJ45" s="658"/>
      <c r="EHM45" s="288"/>
      <c r="EHN45" s="312"/>
      <c r="EHO45" s="482"/>
      <c r="EHP45" s="312"/>
      <c r="EHQ45" s="656"/>
      <c r="EHR45" s="657"/>
      <c r="EHS45" s="656"/>
      <c r="EHT45" s="657"/>
      <c r="EHU45" s="656"/>
      <c r="EHV45" s="658"/>
      <c r="EHW45" s="656"/>
      <c r="EHX45" s="658"/>
      <c r="EIA45" s="288"/>
      <c r="EIB45" s="312"/>
      <c r="EIC45" s="482"/>
      <c r="EID45" s="312"/>
      <c r="EIE45" s="656"/>
      <c r="EIF45" s="657"/>
      <c r="EIG45" s="656"/>
      <c r="EIH45" s="657"/>
      <c r="EII45" s="656"/>
      <c r="EIJ45" s="658"/>
      <c r="EIK45" s="656"/>
      <c r="EIL45" s="658"/>
      <c r="EIO45" s="288"/>
      <c r="EIP45" s="312"/>
      <c r="EIQ45" s="482"/>
      <c r="EIR45" s="312"/>
      <c r="EIS45" s="656"/>
      <c r="EIT45" s="657"/>
      <c r="EIU45" s="656"/>
      <c r="EIV45" s="657"/>
      <c r="EIW45" s="656"/>
      <c r="EIX45" s="658"/>
      <c r="EIY45" s="656"/>
      <c r="EIZ45" s="658"/>
      <c r="EJC45" s="288"/>
      <c r="EJD45" s="312"/>
      <c r="EJE45" s="482"/>
      <c r="EJF45" s="312"/>
      <c r="EJG45" s="656"/>
      <c r="EJH45" s="657"/>
      <c r="EJI45" s="656"/>
      <c r="EJJ45" s="657"/>
      <c r="EJK45" s="656"/>
      <c r="EJL45" s="658"/>
      <c r="EJM45" s="656"/>
      <c r="EJN45" s="658"/>
      <c r="EJQ45" s="288"/>
      <c r="EJR45" s="312"/>
      <c r="EJS45" s="482"/>
      <c r="EJT45" s="312"/>
      <c r="EJU45" s="656"/>
      <c r="EJV45" s="657"/>
      <c r="EJW45" s="656"/>
      <c r="EJX45" s="657"/>
      <c r="EJY45" s="656"/>
      <c r="EJZ45" s="658"/>
      <c r="EKA45" s="656"/>
      <c r="EKB45" s="658"/>
      <c r="EKE45" s="288"/>
      <c r="EKF45" s="312"/>
      <c r="EKG45" s="482"/>
      <c r="EKH45" s="312"/>
      <c r="EKI45" s="656"/>
      <c r="EKJ45" s="657"/>
      <c r="EKK45" s="656"/>
      <c r="EKL45" s="657"/>
      <c r="EKM45" s="656"/>
      <c r="EKN45" s="658"/>
      <c r="EKO45" s="656"/>
      <c r="EKP45" s="658"/>
      <c r="EKS45" s="288"/>
      <c r="EKT45" s="312"/>
      <c r="EKU45" s="482"/>
      <c r="EKV45" s="312"/>
      <c r="EKW45" s="656"/>
      <c r="EKX45" s="657"/>
      <c r="EKY45" s="656"/>
      <c r="EKZ45" s="657"/>
      <c r="ELA45" s="656"/>
      <c r="ELB45" s="658"/>
      <c r="ELC45" s="656"/>
      <c r="ELD45" s="658"/>
      <c r="ELG45" s="288"/>
      <c r="ELH45" s="312"/>
      <c r="ELI45" s="482"/>
      <c r="ELJ45" s="312"/>
      <c r="ELK45" s="656"/>
      <c r="ELL45" s="657"/>
      <c r="ELM45" s="656"/>
      <c r="ELN45" s="657"/>
      <c r="ELO45" s="656"/>
      <c r="ELP45" s="658"/>
      <c r="ELQ45" s="656"/>
      <c r="ELR45" s="658"/>
      <c r="ELU45" s="288"/>
      <c r="ELV45" s="312"/>
      <c r="ELW45" s="482"/>
      <c r="ELX45" s="312"/>
      <c r="ELY45" s="656"/>
      <c r="ELZ45" s="657"/>
      <c r="EMA45" s="656"/>
      <c r="EMB45" s="657"/>
      <c r="EMC45" s="656"/>
      <c r="EMD45" s="658"/>
      <c r="EME45" s="656"/>
      <c r="EMF45" s="658"/>
      <c r="EMI45" s="288"/>
      <c r="EMJ45" s="312"/>
      <c r="EMK45" s="482"/>
      <c r="EML45" s="312"/>
      <c r="EMM45" s="656"/>
      <c r="EMN45" s="657"/>
      <c r="EMO45" s="656"/>
      <c r="EMP45" s="657"/>
      <c r="EMQ45" s="656"/>
      <c r="EMR45" s="658"/>
      <c r="EMS45" s="656"/>
      <c r="EMT45" s="658"/>
      <c r="EMW45" s="288"/>
      <c r="EMX45" s="312"/>
      <c r="EMY45" s="482"/>
      <c r="EMZ45" s="312"/>
      <c r="ENA45" s="656"/>
      <c r="ENB45" s="657"/>
      <c r="ENC45" s="656"/>
      <c r="END45" s="657"/>
      <c r="ENE45" s="656"/>
      <c r="ENF45" s="658"/>
      <c r="ENG45" s="656"/>
      <c r="ENH45" s="658"/>
      <c r="ENK45" s="288"/>
      <c r="ENL45" s="312"/>
      <c r="ENM45" s="482"/>
      <c r="ENN45" s="312"/>
      <c r="ENO45" s="656"/>
      <c r="ENP45" s="657"/>
      <c r="ENQ45" s="656"/>
      <c r="ENR45" s="657"/>
      <c r="ENS45" s="656"/>
      <c r="ENT45" s="658"/>
      <c r="ENU45" s="656"/>
      <c r="ENV45" s="658"/>
      <c r="ENY45" s="288"/>
      <c r="ENZ45" s="312"/>
      <c r="EOA45" s="482"/>
      <c r="EOB45" s="312"/>
      <c r="EOC45" s="656"/>
      <c r="EOD45" s="657"/>
      <c r="EOE45" s="656"/>
      <c r="EOF45" s="657"/>
      <c r="EOG45" s="656"/>
      <c r="EOH45" s="658"/>
      <c r="EOI45" s="656"/>
      <c r="EOJ45" s="658"/>
      <c r="EOM45" s="288"/>
      <c r="EON45" s="312"/>
      <c r="EOO45" s="482"/>
      <c r="EOP45" s="312"/>
      <c r="EOQ45" s="656"/>
      <c r="EOR45" s="657"/>
      <c r="EOS45" s="656"/>
      <c r="EOT45" s="657"/>
      <c r="EOU45" s="656"/>
      <c r="EOV45" s="658"/>
      <c r="EOW45" s="656"/>
      <c r="EOX45" s="658"/>
      <c r="EPA45" s="288"/>
      <c r="EPB45" s="312"/>
      <c r="EPC45" s="482"/>
      <c r="EPD45" s="312"/>
      <c r="EPE45" s="656"/>
      <c r="EPF45" s="657"/>
      <c r="EPG45" s="656"/>
      <c r="EPH45" s="657"/>
      <c r="EPI45" s="656"/>
      <c r="EPJ45" s="658"/>
      <c r="EPK45" s="656"/>
      <c r="EPL45" s="658"/>
      <c r="EPO45" s="288"/>
      <c r="EPP45" s="312"/>
      <c r="EPQ45" s="482"/>
      <c r="EPR45" s="312"/>
      <c r="EPS45" s="656"/>
      <c r="EPT45" s="657"/>
      <c r="EPU45" s="656"/>
      <c r="EPV45" s="657"/>
      <c r="EPW45" s="656"/>
      <c r="EPX45" s="658"/>
      <c r="EPY45" s="656"/>
      <c r="EPZ45" s="658"/>
      <c r="EQC45" s="288"/>
      <c r="EQD45" s="312"/>
      <c r="EQE45" s="482"/>
      <c r="EQF45" s="312"/>
      <c r="EQG45" s="656"/>
      <c r="EQH45" s="657"/>
      <c r="EQI45" s="656"/>
      <c r="EQJ45" s="657"/>
      <c r="EQK45" s="656"/>
      <c r="EQL45" s="658"/>
      <c r="EQM45" s="656"/>
      <c r="EQN45" s="658"/>
      <c r="EQQ45" s="288"/>
      <c r="EQR45" s="312"/>
      <c r="EQS45" s="482"/>
      <c r="EQT45" s="312"/>
      <c r="EQU45" s="656"/>
      <c r="EQV45" s="657"/>
      <c r="EQW45" s="656"/>
      <c r="EQX45" s="657"/>
      <c r="EQY45" s="656"/>
      <c r="EQZ45" s="658"/>
      <c r="ERA45" s="656"/>
      <c r="ERB45" s="658"/>
      <c r="ERE45" s="288"/>
      <c r="ERF45" s="312"/>
      <c r="ERG45" s="482"/>
      <c r="ERH45" s="312"/>
      <c r="ERI45" s="656"/>
      <c r="ERJ45" s="657"/>
      <c r="ERK45" s="656"/>
      <c r="ERL45" s="657"/>
      <c r="ERM45" s="656"/>
      <c r="ERN45" s="658"/>
      <c r="ERO45" s="656"/>
      <c r="ERP45" s="658"/>
      <c r="ERS45" s="288"/>
      <c r="ERT45" s="312"/>
      <c r="ERU45" s="482"/>
      <c r="ERV45" s="312"/>
      <c r="ERW45" s="656"/>
      <c r="ERX45" s="657"/>
      <c r="ERY45" s="656"/>
      <c r="ERZ45" s="657"/>
      <c r="ESA45" s="656"/>
      <c r="ESB45" s="658"/>
      <c r="ESC45" s="656"/>
      <c r="ESD45" s="658"/>
      <c r="ESG45" s="288"/>
      <c r="ESH45" s="312"/>
      <c r="ESI45" s="482"/>
      <c r="ESJ45" s="312"/>
      <c r="ESK45" s="656"/>
      <c r="ESL45" s="657"/>
      <c r="ESM45" s="656"/>
      <c r="ESN45" s="657"/>
      <c r="ESO45" s="656"/>
      <c r="ESP45" s="658"/>
      <c r="ESQ45" s="656"/>
      <c r="ESR45" s="658"/>
      <c r="ESU45" s="288"/>
      <c r="ESV45" s="312"/>
      <c r="ESW45" s="482"/>
      <c r="ESX45" s="312"/>
      <c r="ESY45" s="656"/>
      <c r="ESZ45" s="657"/>
      <c r="ETA45" s="656"/>
      <c r="ETB45" s="657"/>
      <c r="ETC45" s="656"/>
      <c r="ETD45" s="658"/>
      <c r="ETE45" s="656"/>
      <c r="ETF45" s="658"/>
      <c r="ETI45" s="288"/>
      <c r="ETJ45" s="312"/>
      <c r="ETK45" s="482"/>
      <c r="ETL45" s="312"/>
      <c r="ETM45" s="656"/>
      <c r="ETN45" s="657"/>
      <c r="ETO45" s="656"/>
      <c r="ETP45" s="657"/>
      <c r="ETQ45" s="656"/>
      <c r="ETR45" s="658"/>
      <c r="ETS45" s="656"/>
      <c r="ETT45" s="658"/>
      <c r="ETW45" s="288"/>
      <c r="ETX45" s="312"/>
      <c r="ETY45" s="482"/>
      <c r="ETZ45" s="312"/>
      <c r="EUA45" s="656"/>
      <c r="EUB45" s="657"/>
      <c r="EUC45" s="656"/>
      <c r="EUD45" s="657"/>
      <c r="EUE45" s="656"/>
      <c r="EUF45" s="658"/>
      <c r="EUG45" s="656"/>
      <c r="EUH45" s="658"/>
      <c r="EUK45" s="288"/>
      <c r="EUL45" s="312"/>
      <c r="EUM45" s="482"/>
      <c r="EUN45" s="312"/>
      <c r="EUO45" s="656"/>
      <c r="EUP45" s="657"/>
      <c r="EUQ45" s="656"/>
      <c r="EUR45" s="657"/>
      <c r="EUS45" s="656"/>
      <c r="EUT45" s="658"/>
      <c r="EUU45" s="656"/>
      <c r="EUV45" s="658"/>
      <c r="EUY45" s="288"/>
      <c r="EUZ45" s="312"/>
      <c r="EVA45" s="482"/>
      <c r="EVB45" s="312"/>
      <c r="EVC45" s="656"/>
      <c r="EVD45" s="657"/>
      <c r="EVE45" s="656"/>
      <c r="EVF45" s="657"/>
      <c r="EVG45" s="656"/>
      <c r="EVH45" s="658"/>
      <c r="EVI45" s="656"/>
      <c r="EVJ45" s="658"/>
      <c r="EVM45" s="288"/>
      <c r="EVN45" s="312"/>
      <c r="EVO45" s="482"/>
      <c r="EVP45" s="312"/>
      <c r="EVQ45" s="656"/>
      <c r="EVR45" s="657"/>
      <c r="EVS45" s="656"/>
      <c r="EVT45" s="657"/>
      <c r="EVU45" s="656"/>
      <c r="EVV45" s="658"/>
      <c r="EVW45" s="656"/>
      <c r="EVX45" s="658"/>
      <c r="EWA45" s="288"/>
      <c r="EWB45" s="312"/>
      <c r="EWC45" s="482"/>
      <c r="EWD45" s="312"/>
      <c r="EWE45" s="656"/>
      <c r="EWF45" s="657"/>
      <c r="EWG45" s="656"/>
      <c r="EWH45" s="657"/>
      <c r="EWI45" s="656"/>
      <c r="EWJ45" s="658"/>
      <c r="EWK45" s="656"/>
      <c r="EWL45" s="658"/>
      <c r="EWO45" s="288"/>
      <c r="EWP45" s="312"/>
      <c r="EWQ45" s="482"/>
      <c r="EWR45" s="312"/>
      <c r="EWS45" s="656"/>
      <c r="EWT45" s="657"/>
      <c r="EWU45" s="656"/>
      <c r="EWV45" s="657"/>
      <c r="EWW45" s="656"/>
      <c r="EWX45" s="658"/>
      <c r="EWY45" s="656"/>
      <c r="EWZ45" s="658"/>
      <c r="EXC45" s="288"/>
      <c r="EXD45" s="312"/>
      <c r="EXE45" s="482"/>
      <c r="EXF45" s="312"/>
      <c r="EXG45" s="656"/>
      <c r="EXH45" s="657"/>
      <c r="EXI45" s="656"/>
      <c r="EXJ45" s="657"/>
      <c r="EXK45" s="656"/>
      <c r="EXL45" s="658"/>
      <c r="EXM45" s="656"/>
      <c r="EXN45" s="658"/>
      <c r="EXQ45" s="288"/>
      <c r="EXR45" s="312"/>
      <c r="EXS45" s="482"/>
      <c r="EXT45" s="312"/>
      <c r="EXU45" s="656"/>
      <c r="EXV45" s="657"/>
      <c r="EXW45" s="656"/>
      <c r="EXX45" s="657"/>
      <c r="EXY45" s="656"/>
      <c r="EXZ45" s="658"/>
      <c r="EYA45" s="656"/>
      <c r="EYB45" s="658"/>
      <c r="EYE45" s="288"/>
      <c r="EYF45" s="312"/>
      <c r="EYG45" s="482"/>
      <c r="EYH45" s="312"/>
      <c r="EYI45" s="656"/>
      <c r="EYJ45" s="657"/>
      <c r="EYK45" s="656"/>
      <c r="EYL45" s="657"/>
      <c r="EYM45" s="656"/>
      <c r="EYN45" s="658"/>
      <c r="EYO45" s="656"/>
      <c r="EYP45" s="658"/>
      <c r="EYS45" s="288"/>
      <c r="EYT45" s="312"/>
      <c r="EYU45" s="482"/>
      <c r="EYV45" s="312"/>
      <c r="EYW45" s="656"/>
      <c r="EYX45" s="657"/>
      <c r="EYY45" s="656"/>
      <c r="EYZ45" s="657"/>
      <c r="EZA45" s="656"/>
      <c r="EZB45" s="658"/>
      <c r="EZC45" s="656"/>
      <c r="EZD45" s="658"/>
      <c r="EZG45" s="288"/>
      <c r="EZH45" s="312"/>
      <c r="EZI45" s="482"/>
      <c r="EZJ45" s="312"/>
      <c r="EZK45" s="656"/>
      <c r="EZL45" s="657"/>
      <c r="EZM45" s="656"/>
      <c r="EZN45" s="657"/>
      <c r="EZO45" s="656"/>
      <c r="EZP45" s="658"/>
      <c r="EZQ45" s="656"/>
      <c r="EZR45" s="658"/>
      <c r="EZU45" s="288"/>
      <c r="EZV45" s="312"/>
      <c r="EZW45" s="482"/>
      <c r="EZX45" s="312"/>
      <c r="EZY45" s="656"/>
      <c r="EZZ45" s="657"/>
      <c r="FAA45" s="656"/>
      <c r="FAB45" s="657"/>
      <c r="FAC45" s="656"/>
      <c r="FAD45" s="658"/>
      <c r="FAE45" s="656"/>
      <c r="FAF45" s="658"/>
      <c r="FAI45" s="288"/>
      <c r="FAJ45" s="312"/>
      <c r="FAK45" s="482"/>
      <c r="FAL45" s="312"/>
      <c r="FAM45" s="656"/>
      <c r="FAN45" s="657"/>
      <c r="FAO45" s="656"/>
      <c r="FAP45" s="657"/>
      <c r="FAQ45" s="656"/>
      <c r="FAR45" s="658"/>
      <c r="FAS45" s="656"/>
      <c r="FAT45" s="658"/>
      <c r="FAW45" s="288"/>
      <c r="FAX45" s="312"/>
      <c r="FAY45" s="482"/>
      <c r="FAZ45" s="312"/>
      <c r="FBA45" s="656"/>
      <c r="FBB45" s="657"/>
      <c r="FBC45" s="656"/>
      <c r="FBD45" s="657"/>
      <c r="FBE45" s="656"/>
      <c r="FBF45" s="658"/>
      <c r="FBG45" s="656"/>
      <c r="FBH45" s="658"/>
      <c r="FBK45" s="288"/>
      <c r="FBL45" s="312"/>
      <c r="FBM45" s="482"/>
      <c r="FBN45" s="312"/>
      <c r="FBO45" s="656"/>
      <c r="FBP45" s="657"/>
      <c r="FBQ45" s="656"/>
      <c r="FBR45" s="657"/>
      <c r="FBS45" s="656"/>
      <c r="FBT45" s="658"/>
      <c r="FBU45" s="656"/>
      <c r="FBV45" s="658"/>
      <c r="FBY45" s="288"/>
      <c r="FBZ45" s="312"/>
      <c r="FCA45" s="482"/>
      <c r="FCB45" s="312"/>
      <c r="FCC45" s="656"/>
      <c r="FCD45" s="657"/>
      <c r="FCE45" s="656"/>
      <c r="FCF45" s="657"/>
      <c r="FCG45" s="656"/>
      <c r="FCH45" s="658"/>
      <c r="FCI45" s="656"/>
      <c r="FCJ45" s="658"/>
      <c r="FCM45" s="288"/>
      <c r="FCN45" s="312"/>
      <c r="FCO45" s="482"/>
      <c r="FCP45" s="312"/>
      <c r="FCQ45" s="656"/>
      <c r="FCR45" s="657"/>
      <c r="FCS45" s="656"/>
      <c r="FCT45" s="657"/>
      <c r="FCU45" s="656"/>
      <c r="FCV45" s="658"/>
      <c r="FCW45" s="656"/>
      <c r="FCX45" s="658"/>
      <c r="FDA45" s="288"/>
      <c r="FDB45" s="312"/>
      <c r="FDC45" s="482"/>
      <c r="FDD45" s="312"/>
      <c r="FDE45" s="656"/>
      <c r="FDF45" s="657"/>
      <c r="FDG45" s="656"/>
      <c r="FDH45" s="657"/>
      <c r="FDI45" s="656"/>
      <c r="FDJ45" s="658"/>
      <c r="FDK45" s="656"/>
      <c r="FDL45" s="658"/>
      <c r="FDO45" s="288"/>
      <c r="FDP45" s="312"/>
      <c r="FDQ45" s="482"/>
      <c r="FDR45" s="312"/>
      <c r="FDS45" s="656"/>
      <c r="FDT45" s="657"/>
      <c r="FDU45" s="656"/>
      <c r="FDV45" s="657"/>
      <c r="FDW45" s="656"/>
      <c r="FDX45" s="658"/>
      <c r="FDY45" s="656"/>
      <c r="FDZ45" s="658"/>
      <c r="FEC45" s="288"/>
      <c r="FED45" s="312"/>
      <c r="FEE45" s="482"/>
      <c r="FEF45" s="312"/>
      <c r="FEG45" s="656"/>
      <c r="FEH45" s="657"/>
      <c r="FEI45" s="656"/>
      <c r="FEJ45" s="657"/>
      <c r="FEK45" s="656"/>
      <c r="FEL45" s="658"/>
      <c r="FEM45" s="656"/>
      <c r="FEN45" s="658"/>
      <c r="FEQ45" s="288"/>
      <c r="FER45" s="312"/>
      <c r="FES45" s="482"/>
      <c r="FET45" s="312"/>
      <c r="FEU45" s="656"/>
      <c r="FEV45" s="657"/>
      <c r="FEW45" s="656"/>
      <c r="FEX45" s="657"/>
      <c r="FEY45" s="656"/>
      <c r="FEZ45" s="658"/>
      <c r="FFA45" s="656"/>
      <c r="FFB45" s="658"/>
      <c r="FFE45" s="288"/>
      <c r="FFF45" s="312"/>
      <c r="FFG45" s="482"/>
      <c r="FFH45" s="312"/>
      <c r="FFI45" s="656"/>
      <c r="FFJ45" s="657"/>
      <c r="FFK45" s="656"/>
      <c r="FFL45" s="657"/>
      <c r="FFM45" s="656"/>
      <c r="FFN45" s="658"/>
      <c r="FFO45" s="656"/>
      <c r="FFP45" s="658"/>
      <c r="FFS45" s="288"/>
      <c r="FFT45" s="312"/>
      <c r="FFU45" s="482"/>
      <c r="FFV45" s="312"/>
      <c r="FFW45" s="656"/>
      <c r="FFX45" s="657"/>
      <c r="FFY45" s="656"/>
      <c r="FFZ45" s="657"/>
      <c r="FGA45" s="656"/>
      <c r="FGB45" s="658"/>
      <c r="FGC45" s="656"/>
      <c r="FGD45" s="658"/>
      <c r="FGG45" s="288"/>
      <c r="FGH45" s="312"/>
      <c r="FGI45" s="482"/>
      <c r="FGJ45" s="312"/>
      <c r="FGK45" s="656"/>
      <c r="FGL45" s="657"/>
      <c r="FGM45" s="656"/>
      <c r="FGN45" s="657"/>
      <c r="FGO45" s="656"/>
      <c r="FGP45" s="658"/>
      <c r="FGQ45" s="656"/>
      <c r="FGR45" s="658"/>
      <c r="FGU45" s="288"/>
      <c r="FGV45" s="312"/>
      <c r="FGW45" s="482"/>
      <c r="FGX45" s="312"/>
      <c r="FGY45" s="656"/>
      <c r="FGZ45" s="657"/>
      <c r="FHA45" s="656"/>
      <c r="FHB45" s="657"/>
      <c r="FHC45" s="656"/>
      <c r="FHD45" s="658"/>
      <c r="FHE45" s="656"/>
      <c r="FHF45" s="658"/>
      <c r="FHI45" s="288"/>
      <c r="FHJ45" s="312"/>
      <c r="FHK45" s="482"/>
      <c r="FHL45" s="312"/>
      <c r="FHM45" s="656"/>
      <c r="FHN45" s="657"/>
      <c r="FHO45" s="656"/>
      <c r="FHP45" s="657"/>
      <c r="FHQ45" s="656"/>
      <c r="FHR45" s="658"/>
      <c r="FHS45" s="656"/>
      <c r="FHT45" s="658"/>
      <c r="FHW45" s="288"/>
      <c r="FHX45" s="312"/>
      <c r="FHY45" s="482"/>
      <c r="FHZ45" s="312"/>
      <c r="FIA45" s="656"/>
      <c r="FIB45" s="657"/>
      <c r="FIC45" s="656"/>
      <c r="FID45" s="657"/>
      <c r="FIE45" s="656"/>
      <c r="FIF45" s="658"/>
      <c r="FIG45" s="656"/>
      <c r="FIH45" s="658"/>
      <c r="FIK45" s="288"/>
      <c r="FIL45" s="312"/>
      <c r="FIM45" s="482"/>
      <c r="FIN45" s="312"/>
      <c r="FIO45" s="656"/>
      <c r="FIP45" s="657"/>
      <c r="FIQ45" s="656"/>
      <c r="FIR45" s="657"/>
      <c r="FIS45" s="656"/>
      <c r="FIT45" s="658"/>
      <c r="FIU45" s="656"/>
      <c r="FIV45" s="658"/>
      <c r="FIY45" s="288"/>
      <c r="FIZ45" s="312"/>
      <c r="FJA45" s="482"/>
      <c r="FJB45" s="312"/>
      <c r="FJC45" s="656"/>
      <c r="FJD45" s="657"/>
      <c r="FJE45" s="656"/>
      <c r="FJF45" s="657"/>
      <c r="FJG45" s="656"/>
      <c r="FJH45" s="658"/>
      <c r="FJI45" s="656"/>
      <c r="FJJ45" s="658"/>
      <c r="FJM45" s="288"/>
      <c r="FJN45" s="312"/>
      <c r="FJO45" s="482"/>
      <c r="FJP45" s="312"/>
      <c r="FJQ45" s="656"/>
      <c r="FJR45" s="657"/>
      <c r="FJS45" s="656"/>
      <c r="FJT45" s="657"/>
      <c r="FJU45" s="656"/>
      <c r="FJV45" s="658"/>
      <c r="FJW45" s="656"/>
      <c r="FJX45" s="658"/>
      <c r="FKA45" s="288"/>
      <c r="FKB45" s="312"/>
      <c r="FKC45" s="482"/>
      <c r="FKD45" s="312"/>
      <c r="FKE45" s="656"/>
      <c r="FKF45" s="657"/>
      <c r="FKG45" s="656"/>
      <c r="FKH45" s="657"/>
      <c r="FKI45" s="656"/>
      <c r="FKJ45" s="658"/>
      <c r="FKK45" s="656"/>
      <c r="FKL45" s="658"/>
      <c r="FKO45" s="288"/>
      <c r="FKP45" s="312"/>
      <c r="FKQ45" s="482"/>
      <c r="FKR45" s="312"/>
      <c r="FKS45" s="656"/>
      <c r="FKT45" s="657"/>
      <c r="FKU45" s="656"/>
      <c r="FKV45" s="657"/>
      <c r="FKW45" s="656"/>
      <c r="FKX45" s="658"/>
      <c r="FKY45" s="656"/>
      <c r="FKZ45" s="658"/>
      <c r="FLC45" s="288"/>
      <c r="FLD45" s="312"/>
      <c r="FLE45" s="482"/>
      <c r="FLF45" s="312"/>
      <c r="FLG45" s="656"/>
      <c r="FLH45" s="657"/>
      <c r="FLI45" s="656"/>
      <c r="FLJ45" s="657"/>
      <c r="FLK45" s="656"/>
      <c r="FLL45" s="658"/>
      <c r="FLM45" s="656"/>
      <c r="FLN45" s="658"/>
      <c r="FLQ45" s="288"/>
      <c r="FLR45" s="312"/>
      <c r="FLS45" s="482"/>
      <c r="FLT45" s="312"/>
      <c r="FLU45" s="656"/>
      <c r="FLV45" s="657"/>
      <c r="FLW45" s="656"/>
      <c r="FLX45" s="657"/>
      <c r="FLY45" s="656"/>
      <c r="FLZ45" s="658"/>
      <c r="FMA45" s="656"/>
      <c r="FMB45" s="658"/>
      <c r="FME45" s="288"/>
      <c r="FMF45" s="312"/>
      <c r="FMG45" s="482"/>
      <c r="FMH45" s="312"/>
      <c r="FMI45" s="656"/>
      <c r="FMJ45" s="657"/>
      <c r="FMK45" s="656"/>
      <c r="FML45" s="657"/>
      <c r="FMM45" s="656"/>
      <c r="FMN45" s="658"/>
      <c r="FMO45" s="656"/>
      <c r="FMP45" s="658"/>
      <c r="FMS45" s="288"/>
      <c r="FMT45" s="312"/>
      <c r="FMU45" s="482"/>
      <c r="FMV45" s="312"/>
      <c r="FMW45" s="656"/>
      <c r="FMX45" s="657"/>
      <c r="FMY45" s="656"/>
      <c r="FMZ45" s="657"/>
      <c r="FNA45" s="656"/>
      <c r="FNB45" s="658"/>
      <c r="FNC45" s="656"/>
      <c r="FND45" s="658"/>
      <c r="FNG45" s="288"/>
      <c r="FNH45" s="312"/>
      <c r="FNI45" s="482"/>
      <c r="FNJ45" s="312"/>
      <c r="FNK45" s="656"/>
      <c r="FNL45" s="657"/>
      <c r="FNM45" s="656"/>
      <c r="FNN45" s="657"/>
      <c r="FNO45" s="656"/>
      <c r="FNP45" s="658"/>
      <c r="FNQ45" s="656"/>
      <c r="FNR45" s="658"/>
      <c r="FNU45" s="288"/>
      <c r="FNV45" s="312"/>
      <c r="FNW45" s="482"/>
      <c r="FNX45" s="312"/>
      <c r="FNY45" s="656"/>
      <c r="FNZ45" s="657"/>
      <c r="FOA45" s="656"/>
      <c r="FOB45" s="657"/>
      <c r="FOC45" s="656"/>
      <c r="FOD45" s="658"/>
      <c r="FOE45" s="656"/>
      <c r="FOF45" s="658"/>
      <c r="FOI45" s="288"/>
      <c r="FOJ45" s="312"/>
      <c r="FOK45" s="482"/>
      <c r="FOL45" s="312"/>
      <c r="FOM45" s="656"/>
      <c r="FON45" s="657"/>
      <c r="FOO45" s="656"/>
      <c r="FOP45" s="657"/>
      <c r="FOQ45" s="656"/>
      <c r="FOR45" s="658"/>
      <c r="FOS45" s="656"/>
      <c r="FOT45" s="658"/>
      <c r="FOW45" s="288"/>
      <c r="FOX45" s="312"/>
      <c r="FOY45" s="482"/>
      <c r="FOZ45" s="312"/>
      <c r="FPA45" s="656"/>
      <c r="FPB45" s="657"/>
      <c r="FPC45" s="656"/>
      <c r="FPD45" s="657"/>
      <c r="FPE45" s="656"/>
      <c r="FPF45" s="658"/>
      <c r="FPG45" s="656"/>
      <c r="FPH45" s="658"/>
      <c r="FPK45" s="288"/>
      <c r="FPL45" s="312"/>
      <c r="FPM45" s="482"/>
      <c r="FPN45" s="312"/>
      <c r="FPO45" s="656"/>
      <c r="FPP45" s="657"/>
      <c r="FPQ45" s="656"/>
      <c r="FPR45" s="657"/>
      <c r="FPS45" s="656"/>
      <c r="FPT45" s="658"/>
      <c r="FPU45" s="656"/>
      <c r="FPV45" s="658"/>
      <c r="FPY45" s="288"/>
      <c r="FPZ45" s="312"/>
      <c r="FQA45" s="482"/>
      <c r="FQB45" s="312"/>
      <c r="FQC45" s="656"/>
      <c r="FQD45" s="657"/>
      <c r="FQE45" s="656"/>
      <c r="FQF45" s="657"/>
      <c r="FQG45" s="656"/>
      <c r="FQH45" s="658"/>
      <c r="FQI45" s="656"/>
      <c r="FQJ45" s="658"/>
      <c r="FQM45" s="288"/>
      <c r="FQN45" s="312"/>
      <c r="FQO45" s="482"/>
      <c r="FQP45" s="312"/>
      <c r="FQQ45" s="656"/>
      <c r="FQR45" s="657"/>
      <c r="FQS45" s="656"/>
      <c r="FQT45" s="657"/>
      <c r="FQU45" s="656"/>
      <c r="FQV45" s="658"/>
      <c r="FQW45" s="656"/>
      <c r="FQX45" s="658"/>
      <c r="FRA45" s="288"/>
      <c r="FRB45" s="312"/>
      <c r="FRC45" s="482"/>
      <c r="FRD45" s="312"/>
      <c r="FRE45" s="656"/>
      <c r="FRF45" s="657"/>
      <c r="FRG45" s="656"/>
      <c r="FRH45" s="657"/>
      <c r="FRI45" s="656"/>
      <c r="FRJ45" s="658"/>
      <c r="FRK45" s="656"/>
      <c r="FRL45" s="658"/>
      <c r="FRO45" s="288"/>
      <c r="FRP45" s="312"/>
      <c r="FRQ45" s="482"/>
      <c r="FRR45" s="312"/>
      <c r="FRS45" s="656"/>
      <c r="FRT45" s="657"/>
      <c r="FRU45" s="656"/>
      <c r="FRV45" s="657"/>
      <c r="FRW45" s="656"/>
      <c r="FRX45" s="658"/>
      <c r="FRY45" s="656"/>
      <c r="FRZ45" s="658"/>
      <c r="FSC45" s="288"/>
      <c r="FSD45" s="312"/>
      <c r="FSE45" s="482"/>
      <c r="FSF45" s="312"/>
      <c r="FSG45" s="656"/>
      <c r="FSH45" s="657"/>
      <c r="FSI45" s="656"/>
      <c r="FSJ45" s="657"/>
      <c r="FSK45" s="656"/>
      <c r="FSL45" s="658"/>
      <c r="FSM45" s="656"/>
      <c r="FSN45" s="658"/>
      <c r="FSQ45" s="288"/>
      <c r="FSR45" s="312"/>
      <c r="FSS45" s="482"/>
      <c r="FST45" s="312"/>
      <c r="FSU45" s="656"/>
      <c r="FSV45" s="657"/>
      <c r="FSW45" s="656"/>
      <c r="FSX45" s="657"/>
      <c r="FSY45" s="656"/>
      <c r="FSZ45" s="658"/>
      <c r="FTA45" s="656"/>
      <c r="FTB45" s="658"/>
      <c r="FTE45" s="288"/>
      <c r="FTF45" s="312"/>
      <c r="FTG45" s="482"/>
      <c r="FTH45" s="312"/>
      <c r="FTI45" s="656"/>
      <c r="FTJ45" s="657"/>
      <c r="FTK45" s="656"/>
      <c r="FTL45" s="657"/>
      <c r="FTM45" s="656"/>
      <c r="FTN45" s="658"/>
      <c r="FTO45" s="656"/>
      <c r="FTP45" s="658"/>
      <c r="FTS45" s="288"/>
      <c r="FTT45" s="312"/>
      <c r="FTU45" s="482"/>
      <c r="FTV45" s="312"/>
      <c r="FTW45" s="656"/>
      <c r="FTX45" s="657"/>
      <c r="FTY45" s="656"/>
      <c r="FTZ45" s="657"/>
      <c r="FUA45" s="656"/>
      <c r="FUB45" s="658"/>
      <c r="FUC45" s="656"/>
      <c r="FUD45" s="658"/>
      <c r="FUG45" s="288"/>
      <c r="FUH45" s="312"/>
      <c r="FUI45" s="482"/>
      <c r="FUJ45" s="312"/>
      <c r="FUK45" s="656"/>
      <c r="FUL45" s="657"/>
      <c r="FUM45" s="656"/>
      <c r="FUN45" s="657"/>
      <c r="FUO45" s="656"/>
      <c r="FUP45" s="658"/>
      <c r="FUQ45" s="656"/>
      <c r="FUR45" s="658"/>
      <c r="FUU45" s="288"/>
      <c r="FUV45" s="312"/>
      <c r="FUW45" s="482"/>
      <c r="FUX45" s="312"/>
      <c r="FUY45" s="656"/>
      <c r="FUZ45" s="657"/>
      <c r="FVA45" s="656"/>
      <c r="FVB45" s="657"/>
      <c r="FVC45" s="656"/>
      <c r="FVD45" s="658"/>
      <c r="FVE45" s="656"/>
      <c r="FVF45" s="658"/>
      <c r="FVI45" s="288"/>
      <c r="FVJ45" s="312"/>
      <c r="FVK45" s="482"/>
      <c r="FVL45" s="312"/>
      <c r="FVM45" s="656"/>
      <c r="FVN45" s="657"/>
      <c r="FVO45" s="656"/>
      <c r="FVP45" s="657"/>
      <c r="FVQ45" s="656"/>
      <c r="FVR45" s="658"/>
      <c r="FVS45" s="656"/>
      <c r="FVT45" s="658"/>
      <c r="FVW45" s="288"/>
      <c r="FVX45" s="312"/>
      <c r="FVY45" s="482"/>
      <c r="FVZ45" s="312"/>
      <c r="FWA45" s="656"/>
      <c r="FWB45" s="657"/>
      <c r="FWC45" s="656"/>
      <c r="FWD45" s="657"/>
      <c r="FWE45" s="656"/>
      <c r="FWF45" s="658"/>
      <c r="FWG45" s="656"/>
      <c r="FWH45" s="658"/>
      <c r="FWK45" s="288"/>
      <c r="FWL45" s="312"/>
      <c r="FWM45" s="482"/>
      <c r="FWN45" s="312"/>
      <c r="FWO45" s="656"/>
      <c r="FWP45" s="657"/>
      <c r="FWQ45" s="656"/>
      <c r="FWR45" s="657"/>
      <c r="FWS45" s="656"/>
      <c r="FWT45" s="658"/>
      <c r="FWU45" s="656"/>
      <c r="FWV45" s="658"/>
      <c r="FWY45" s="288"/>
      <c r="FWZ45" s="312"/>
      <c r="FXA45" s="482"/>
      <c r="FXB45" s="312"/>
      <c r="FXC45" s="656"/>
      <c r="FXD45" s="657"/>
      <c r="FXE45" s="656"/>
      <c r="FXF45" s="657"/>
      <c r="FXG45" s="656"/>
      <c r="FXH45" s="658"/>
      <c r="FXI45" s="656"/>
      <c r="FXJ45" s="658"/>
      <c r="FXM45" s="288"/>
      <c r="FXN45" s="312"/>
      <c r="FXO45" s="482"/>
      <c r="FXP45" s="312"/>
      <c r="FXQ45" s="656"/>
      <c r="FXR45" s="657"/>
      <c r="FXS45" s="656"/>
      <c r="FXT45" s="657"/>
      <c r="FXU45" s="656"/>
      <c r="FXV45" s="658"/>
      <c r="FXW45" s="656"/>
      <c r="FXX45" s="658"/>
      <c r="FYA45" s="288"/>
      <c r="FYB45" s="312"/>
      <c r="FYC45" s="482"/>
      <c r="FYD45" s="312"/>
      <c r="FYE45" s="656"/>
      <c r="FYF45" s="657"/>
      <c r="FYG45" s="656"/>
      <c r="FYH45" s="657"/>
      <c r="FYI45" s="656"/>
      <c r="FYJ45" s="658"/>
      <c r="FYK45" s="656"/>
      <c r="FYL45" s="658"/>
      <c r="FYO45" s="288"/>
      <c r="FYP45" s="312"/>
      <c r="FYQ45" s="482"/>
      <c r="FYR45" s="312"/>
      <c r="FYS45" s="656"/>
      <c r="FYT45" s="657"/>
      <c r="FYU45" s="656"/>
      <c r="FYV45" s="657"/>
      <c r="FYW45" s="656"/>
      <c r="FYX45" s="658"/>
      <c r="FYY45" s="656"/>
      <c r="FYZ45" s="658"/>
      <c r="FZC45" s="288"/>
      <c r="FZD45" s="312"/>
      <c r="FZE45" s="482"/>
      <c r="FZF45" s="312"/>
      <c r="FZG45" s="656"/>
      <c r="FZH45" s="657"/>
      <c r="FZI45" s="656"/>
      <c r="FZJ45" s="657"/>
      <c r="FZK45" s="656"/>
      <c r="FZL45" s="658"/>
      <c r="FZM45" s="656"/>
      <c r="FZN45" s="658"/>
      <c r="FZQ45" s="288"/>
      <c r="FZR45" s="312"/>
      <c r="FZS45" s="482"/>
      <c r="FZT45" s="312"/>
      <c r="FZU45" s="656"/>
      <c r="FZV45" s="657"/>
      <c r="FZW45" s="656"/>
      <c r="FZX45" s="657"/>
      <c r="FZY45" s="656"/>
      <c r="FZZ45" s="658"/>
      <c r="GAA45" s="656"/>
      <c r="GAB45" s="658"/>
      <c r="GAE45" s="288"/>
      <c r="GAF45" s="312"/>
      <c r="GAG45" s="482"/>
      <c r="GAH45" s="312"/>
      <c r="GAI45" s="656"/>
      <c r="GAJ45" s="657"/>
      <c r="GAK45" s="656"/>
      <c r="GAL45" s="657"/>
      <c r="GAM45" s="656"/>
      <c r="GAN45" s="658"/>
      <c r="GAO45" s="656"/>
      <c r="GAP45" s="658"/>
      <c r="GAS45" s="288"/>
      <c r="GAT45" s="312"/>
      <c r="GAU45" s="482"/>
      <c r="GAV45" s="312"/>
      <c r="GAW45" s="656"/>
      <c r="GAX45" s="657"/>
      <c r="GAY45" s="656"/>
      <c r="GAZ45" s="657"/>
      <c r="GBA45" s="656"/>
      <c r="GBB45" s="658"/>
      <c r="GBC45" s="656"/>
      <c r="GBD45" s="658"/>
      <c r="GBG45" s="288"/>
      <c r="GBH45" s="312"/>
      <c r="GBI45" s="482"/>
      <c r="GBJ45" s="312"/>
      <c r="GBK45" s="656"/>
      <c r="GBL45" s="657"/>
      <c r="GBM45" s="656"/>
      <c r="GBN45" s="657"/>
      <c r="GBO45" s="656"/>
      <c r="GBP45" s="658"/>
      <c r="GBQ45" s="656"/>
      <c r="GBR45" s="658"/>
      <c r="GBU45" s="288"/>
      <c r="GBV45" s="312"/>
      <c r="GBW45" s="482"/>
      <c r="GBX45" s="312"/>
      <c r="GBY45" s="656"/>
      <c r="GBZ45" s="657"/>
      <c r="GCA45" s="656"/>
      <c r="GCB45" s="657"/>
      <c r="GCC45" s="656"/>
      <c r="GCD45" s="658"/>
      <c r="GCE45" s="656"/>
      <c r="GCF45" s="658"/>
      <c r="GCI45" s="288"/>
      <c r="GCJ45" s="312"/>
      <c r="GCK45" s="482"/>
      <c r="GCL45" s="312"/>
      <c r="GCM45" s="656"/>
      <c r="GCN45" s="657"/>
      <c r="GCO45" s="656"/>
      <c r="GCP45" s="657"/>
      <c r="GCQ45" s="656"/>
      <c r="GCR45" s="658"/>
      <c r="GCS45" s="656"/>
      <c r="GCT45" s="658"/>
      <c r="GCW45" s="288"/>
      <c r="GCX45" s="312"/>
      <c r="GCY45" s="482"/>
      <c r="GCZ45" s="312"/>
      <c r="GDA45" s="656"/>
      <c r="GDB45" s="657"/>
      <c r="GDC45" s="656"/>
      <c r="GDD45" s="657"/>
      <c r="GDE45" s="656"/>
      <c r="GDF45" s="658"/>
      <c r="GDG45" s="656"/>
      <c r="GDH45" s="658"/>
      <c r="GDK45" s="288"/>
      <c r="GDL45" s="312"/>
      <c r="GDM45" s="482"/>
      <c r="GDN45" s="312"/>
      <c r="GDO45" s="656"/>
      <c r="GDP45" s="657"/>
      <c r="GDQ45" s="656"/>
      <c r="GDR45" s="657"/>
      <c r="GDS45" s="656"/>
      <c r="GDT45" s="658"/>
      <c r="GDU45" s="656"/>
      <c r="GDV45" s="658"/>
      <c r="GDY45" s="288"/>
      <c r="GDZ45" s="312"/>
      <c r="GEA45" s="482"/>
      <c r="GEB45" s="312"/>
      <c r="GEC45" s="656"/>
      <c r="GED45" s="657"/>
      <c r="GEE45" s="656"/>
      <c r="GEF45" s="657"/>
      <c r="GEG45" s="656"/>
      <c r="GEH45" s="658"/>
      <c r="GEI45" s="656"/>
      <c r="GEJ45" s="658"/>
      <c r="GEM45" s="288"/>
      <c r="GEN45" s="312"/>
      <c r="GEO45" s="482"/>
      <c r="GEP45" s="312"/>
      <c r="GEQ45" s="656"/>
      <c r="GER45" s="657"/>
      <c r="GES45" s="656"/>
      <c r="GET45" s="657"/>
      <c r="GEU45" s="656"/>
      <c r="GEV45" s="658"/>
      <c r="GEW45" s="656"/>
      <c r="GEX45" s="658"/>
      <c r="GFA45" s="288"/>
      <c r="GFB45" s="312"/>
      <c r="GFC45" s="482"/>
      <c r="GFD45" s="312"/>
      <c r="GFE45" s="656"/>
      <c r="GFF45" s="657"/>
      <c r="GFG45" s="656"/>
      <c r="GFH45" s="657"/>
      <c r="GFI45" s="656"/>
      <c r="GFJ45" s="658"/>
      <c r="GFK45" s="656"/>
      <c r="GFL45" s="658"/>
      <c r="GFO45" s="288"/>
      <c r="GFP45" s="312"/>
      <c r="GFQ45" s="482"/>
      <c r="GFR45" s="312"/>
      <c r="GFS45" s="656"/>
      <c r="GFT45" s="657"/>
      <c r="GFU45" s="656"/>
      <c r="GFV45" s="657"/>
      <c r="GFW45" s="656"/>
      <c r="GFX45" s="658"/>
      <c r="GFY45" s="656"/>
      <c r="GFZ45" s="658"/>
      <c r="GGC45" s="288"/>
      <c r="GGD45" s="312"/>
      <c r="GGE45" s="482"/>
      <c r="GGF45" s="312"/>
      <c r="GGG45" s="656"/>
      <c r="GGH45" s="657"/>
      <c r="GGI45" s="656"/>
      <c r="GGJ45" s="657"/>
      <c r="GGK45" s="656"/>
      <c r="GGL45" s="658"/>
      <c r="GGM45" s="656"/>
      <c r="GGN45" s="658"/>
      <c r="GGQ45" s="288"/>
      <c r="GGR45" s="312"/>
      <c r="GGS45" s="482"/>
      <c r="GGT45" s="312"/>
      <c r="GGU45" s="656"/>
      <c r="GGV45" s="657"/>
      <c r="GGW45" s="656"/>
      <c r="GGX45" s="657"/>
      <c r="GGY45" s="656"/>
      <c r="GGZ45" s="658"/>
      <c r="GHA45" s="656"/>
      <c r="GHB45" s="658"/>
      <c r="GHE45" s="288"/>
      <c r="GHF45" s="312"/>
      <c r="GHG45" s="482"/>
      <c r="GHH45" s="312"/>
      <c r="GHI45" s="656"/>
      <c r="GHJ45" s="657"/>
      <c r="GHK45" s="656"/>
      <c r="GHL45" s="657"/>
      <c r="GHM45" s="656"/>
      <c r="GHN45" s="658"/>
      <c r="GHO45" s="656"/>
      <c r="GHP45" s="658"/>
      <c r="GHS45" s="288"/>
      <c r="GHT45" s="312"/>
      <c r="GHU45" s="482"/>
      <c r="GHV45" s="312"/>
      <c r="GHW45" s="656"/>
      <c r="GHX45" s="657"/>
      <c r="GHY45" s="656"/>
      <c r="GHZ45" s="657"/>
      <c r="GIA45" s="656"/>
      <c r="GIB45" s="658"/>
      <c r="GIC45" s="656"/>
      <c r="GID45" s="658"/>
      <c r="GIG45" s="288"/>
      <c r="GIH45" s="312"/>
      <c r="GII45" s="482"/>
      <c r="GIJ45" s="312"/>
      <c r="GIK45" s="656"/>
      <c r="GIL45" s="657"/>
      <c r="GIM45" s="656"/>
      <c r="GIN45" s="657"/>
      <c r="GIO45" s="656"/>
      <c r="GIP45" s="658"/>
      <c r="GIQ45" s="656"/>
      <c r="GIR45" s="658"/>
      <c r="GIU45" s="288"/>
      <c r="GIV45" s="312"/>
      <c r="GIW45" s="482"/>
      <c r="GIX45" s="312"/>
      <c r="GIY45" s="656"/>
      <c r="GIZ45" s="657"/>
      <c r="GJA45" s="656"/>
      <c r="GJB45" s="657"/>
      <c r="GJC45" s="656"/>
      <c r="GJD45" s="658"/>
      <c r="GJE45" s="656"/>
      <c r="GJF45" s="658"/>
      <c r="GJI45" s="288"/>
      <c r="GJJ45" s="312"/>
      <c r="GJK45" s="482"/>
      <c r="GJL45" s="312"/>
      <c r="GJM45" s="656"/>
      <c r="GJN45" s="657"/>
      <c r="GJO45" s="656"/>
      <c r="GJP45" s="657"/>
      <c r="GJQ45" s="656"/>
      <c r="GJR45" s="658"/>
      <c r="GJS45" s="656"/>
      <c r="GJT45" s="658"/>
      <c r="GJW45" s="288"/>
      <c r="GJX45" s="312"/>
      <c r="GJY45" s="482"/>
      <c r="GJZ45" s="312"/>
      <c r="GKA45" s="656"/>
      <c r="GKB45" s="657"/>
      <c r="GKC45" s="656"/>
      <c r="GKD45" s="657"/>
      <c r="GKE45" s="656"/>
      <c r="GKF45" s="658"/>
      <c r="GKG45" s="656"/>
      <c r="GKH45" s="658"/>
      <c r="GKK45" s="288"/>
      <c r="GKL45" s="312"/>
      <c r="GKM45" s="482"/>
      <c r="GKN45" s="312"/>
      <c r="GKO45" s="656"/>
      <c r="GKP45" s="657"/>
      <c r="GKQ45" s="656"/>
      <c r="GKR45" s="657"/>
      <c r="GKS45" s="656"/>
      <c r="GKT45" s="658"/>
      <c r="GKU45" s="656"/>
      <c r="GKV45" s="658"/>
      <c r="GKY45" s="288"/>
      <c r="GKZ45" s="312"/>
      <c r="GLA45" s="482"/>
      <c r="GLB45" s="312"/>
      <c r="GLC45" s="656"/>
      <c r="GLD45" s="657"/>
      <c r="GLE45" s="656"/>
      <c r="GLF45" s="657"/>
      <c r="GLG45" s="656"/>
      <c r="GLH45" s="658"/>
      <c r="GLI45" s="656"/>
      <c r="GLJ45" s="658"/>
      <c r="GLM45" s="288"/>
      <c r="GLN45" s="312"/>
      <c r="GLO45" s="482"/>
      <c r="GLP45" s="312"/>
      <c r="GLQ45" s="656"/>
      <c r="GLR45" s="657"/>
      <c r="GLS45" s="656"/>
      <c r="GLT45" s="657"/>
      <c r="GLU45" s="656"/>
      <c r="GLV45" s="658"/>
      <c r="GLW45" s="656"/>
      <c r="GLX45" s="658"/>
      <c r="GMA45" s="288"/>
      <c r="GMB45" s="312"/>
      <c r="GMC45" s="482"/>
      <c r="GMD45" s="312"/>
      <c r="GME45" s="656"/>
      <c r="GMF45" s="657"/>
      <c r="GMG45" s="656"/>
      <c r="GMH45" s="657"/>
      <c r="GMI45" s="656"/>
      <c r="GMJ45" s="658"/>
      <c r="GMK45" s="656"/>
      <c r="GML45" s="658"/>
      <c r="GMO45" s="288"/>
      <c r="GMP45" s="312"/>
      <c r="GMQ45" s="482"/>
      <c r="GMR45" s="312"/>
      <c r="GMS45" s="656"/>
      <c r="GMT45" s="657"/>
      <c r="GMU45" s="656"/>
      <c r="GMV45" s="657"/>
      <c r="GMW45" s="656"/>
      <c r="GMX45" s="658"/>
      <c r="GMY45" s="656"/>
      <c r="GMZ45" s="658"/>
      <c r="GNC45" s="288"/>
      <c r="GND45" s="312"/>
      <c r="GNE45" s="482"/>
      <c r="GNF45" s="312"/>
      <c r="GNG45" s="656"/>
      <c r="GNH45" s="657"/>
      <c r="GNI45" s="656"/>
      <c r="GNJ45" s="657"/>
      <c r="GNK45" s="656"/>
      <c r="GNL45" s="658"/>
      <c r="GNM45" s="656"/>
      <c r="GNN45" s="658"/>
      <c r="GNQ45" s="288"/>
      <c r="GNR45" s="312"/>
      <c r="GNS45" s="482"/>
      <c r="GNT45" s="312"/>
      <c r="GNU45" s="656"/>
      <c r="GNV45" s="657"/>
      <c r="GNW45" s="656"/>
      <c r="GNX45" s="657"/>
      <c r="GNY45" s="656"/>
      <c r="GNZ45" s="658"/>
      <c r="GOA45" s="656"/>
      <c r="GOB45" s="658"/>
      <c r="GOE45" s="288"/>
      <c r="GOF45" s="312"/>
      <c r="GOG45" s="482"/>
      <c r="GOH45" s="312"/>
      <c r="GOI45" s="656"/>
      <c r="GOJ45" s="657"/>
      <c r="GOK45" s="656"/>
      <c r="GOL45" s="657"/>
      <c r="GOM45" s="656"/>
      <c r="GON45" s="658"/>
      <c r="GOO45" s="656"/>
      <c r="GOP45" s="658"/>
      <c r="GOS45" s="288"/>
      <c r="GOT45" s="312"/>
      <c r="GOU45" s="482"/>
      <c r="GOV45" s="312"/>
      <c r="GOW45" s="656"/>
      <c r="GOX45" s="657"/>
      <c r="GOY45" s="656"/>
      <c r="GOZ45" s="657"/>
      <c r="GPA45" s="656"/>
      <c r="GPB45" s="658"/>
      <c r="GPC45" s="656"/>
      <c r="GPD45" s="658"/>
      <c r="GPG45" s="288"/>
      <c r="GPH45" s="312"/>
      <c r="GPI45" s="482"/>
      <c r="GPJ45" s="312"/>
      <c r="GPK45" s="656"/>
      <c r="GPL45" s="657"/>
      <c r="GPM45" s="656"/>
      <c r="GPN45" s="657"/>
      <c r="GPO45" s="656"/>
      <c r="GPP45" s="658"/>
      <c r="GPQ45" s="656"/>
      <c r="GPR45" s="658"/>
      <c r="GPU45" s="288"/>
      <c r="GPV45" s="312"/>
      <c r="GPW45" s="482"/>
      <c r="GPX45" s="312"/>
      <c r="GPY45" s="656"/>
      <c r="GPZ45" s="657"/>
      <c r="GQA45" s="656"/>
      <c r="GQB45" s="657"/>
      <c r="GQC45" s="656"/>
      <c r="GQD45" s="658"/>
      <c r="GQE45" s="656"/>
      <c r="GQF45" s="658"/>
      <c r="GQI45" s="288"/>
      <c r="GQJ45" s="312"/>
      <c r="GQK45" s="482"/>
      <c r="GQL45" s="312"/>
      <c r="GQM45" s="656"/>
      <c r="GQN45" s="657"/>
      <c r="GQO45" s="656"/>
      <c r="GQP45" s="657"/>
      <c r="GQQ45" s="656"/>
      <c r="GQR45" s="658"/>
      <c r="GQS45" s="656"/>
      <c r="GQT45" s="658"/>
      <c r="GQW45" s="288"/>
      <c r="GQX45" s="312"/>
      <c r="GQY45" s="482"/>
      <c r="GQZ45" s="312"/>
      <c r="GRA45" s="656"/>
      <c r="GRB45" s="657"/>
      <c r="GRC45" s="656"/>
      <c r="GRD45" s="657"/>
      <c r="GRE45" s="656"/>
      <c r="GRF45" s="658"/>
      <c r="GRG45" s="656"/>
      <c r="GRH45" s="658"/>
      <c r="GRK45" s="288"/>
      <c r="GRL45" s="312"/>
      <c r="GRM45" s="482"/>
      <c r="GRN45" s="312"/>
      <c r="GRO45" s="656"/>
      <c r="GRP45" s="657"/>
      <c r="GRQ45" s="656"/>
      <c r="GRR45" s="657"/>
      <c r="GRS45" s="656"/>
      <c r="GRT45" s="658"/>
      <c r="GRU45" s="656"/>
      <c r="GRV45" s="658"/>
      <c r="GRY45" s="288"/>
      <c r="GRZ45" s="312"/>
      <c r="GSA45" s="482"/>
      <c r="GSB45" s="312"/>
      <c r="GSC45" s="656"/>
      <c r="GSD45" s="657"/>
      <c r="GSE45" s="656"/>
      <c r="GSF45" s="657"/>
      <c r="GSG45" s="656"/>
      <c r="GSH45" s="658"/>
      <c r="GSI45" s="656"/>
      <c r="GSJ45" s="658"/>
      <c r="GSM45" s="288"/>
      <c r="GSN45" s="312"/>
      <c r="GSO45" s="482"/>
      <c r="GSP45" s="312"/>
      <c r="GSQ45" s="656"/>
      <c r="GSR45" s="657"/>
      <c r="GSS45" s="656"/>
      <c r="GST45" s="657"/>
      <c r="GSU45" s="656"/>
      <c r="GSV45" s="658"/>
      <c r="GSW45" s="656"/>
      <c r="GSX45" s="658"/>
      <c r="GTA45" s="288"/>
      <c r="GTB45" s="312"/>
      <c r="GTC45" s="482"/>
      <c r="GTD45" s="312"/>
      <c r="GTE45" s="656"/>
      <c r="GTF45" s="657"/>
      <c r="GTG45" s="656"/>
      <c r="GTH45" s="657"/>
      <c r="GTI45" s="656"/>
      <c r="GTJ45" s="658"/>
      <c r="GTK45" s="656"/>
      <c r="GTL45" s="658"/>
      <c r="GTO45" s="288"/>
      <c r="GTP45" s="312"/>
      <c r="GTQ45" s="482"/>
      <c r="GTR45" s="312"/>
      <c r="GTS45" s="656"/>
      <c r="GTT45" s="657"/>
      <c r="GTU45" s="656"/>
      <c r="GTV45" s="657"/>
      <c r="GTW45" s="656"/>
      <c r="GTX45" s="658"/>
      <c r="GTY45" s="656"/>
      <c r="GTZ45" s="658"/>
      <c r="GUC45" s="288"/>
      <c r="GUD45" s="312"/>
      <c r="GUE45" s="482"/>
      <c r="GUF45" s="312"/>
      <c r="GUG45" s="656"/>
      <c r="GUH45" s="657"/>
      <c r="GUI45" s="656"/>
      <c r="GUJ45" s="657"/>
      <c r="GUK45" s="656"/>
      <c r="GUL45" s="658"/>
      <c r="GUM45" s="656"/>
      <c r="GUN45" s="658"/>
      <c r="GUQ45" s="288"/>
      <c r="GUR45" s="312"/>
      <c r="GUS45" s="482"/>
      <c r="GUT45" s="312"/>
      <c r="GUU45" s="656"/>
      <c r="GUV45" s="657"/>
      <c r="GUW45" s="656"/>
      <c r="GUX45" s="657"/>
      <c r="GUY45" s="656"/>
      <c r="GUZ45" s="658"/>
      <c r="GVA45" s="656"/>
      <c r="GVB45" s="658"/>
      <c r="GVE45" s="288"/>
      <c r="GVF45" s="312"/>
      <c r="GVG45" s="482"/>
      <c r="GVH45" s="312"/>
      <c r="GVI45" s="656"/>
      <c r="GVJ45" s="657"/>
      <c r="GVK45" s="656"/>
      <c r="GVL45" s="657"/>
      <c r="GVM45" s="656"/>
      <c r="GVN45" s="658"/>
      <c r="GVO45" s="656"/>
      <c r="GVP45" s="658"/>
      <c r="GVS45" s="288"/>
      <c r="GVT45" s="312"/>
      <c r="GVU45" s="482"/>
      <c r="GVV45" s="312"/>
      <c r="GVW45" s="656"/>
      <c r="GVX45" s="657"/>
      <c r="GVY45" s="656"/>
      <c r="GVZ45" s="657"/>
      <c r="GWA45" s="656"/>
      <c r="GWB45" s="658"/>
      <c r="GWC45" s="656"/>
      <c r="GWD45" s="658"/>
      <c r="GWG45" s="288"/>
      <c r="GWH45" s="312"/>
      <c r="GWI45" s="482"/>
      <c r="GWJ45" s="312"/>
      <c r="GWK45" s="656"/>
      <c r="GWL45" s="657"/>
      <c r="GWM45" s="656"/>
      <c r="GWN45" s="657"/>
      <c r="GWO45" s="656"/>
      <c r="GWP45" s="658"/>
      <c r="GWQ45" s="656"/>
      <c r="GWR45" s="658"/>
      <c r="GWU45" s="288"/>
      <c r="GWV45" s="312"/>
      <c r="GWW45" s="482"/>
      <c r="GWX45" s="312"/>
      <c r="GWY45" s="656"/>
      <c r="GWZ45" s="657"/>
      <c r="GXA45" s="656"/>
      <c r="GXB45" s="657"/>
      <c r="GXC45" s="656"/>
      <c r="GXD45" s="658"/>
      <c r="GXE45" s="656"/>
      <c r="GXF45" s="658"/>
      <c r="GXI45" s="288"/>
      <c r="GXJ45" s="312"/>
      <c r="GXK45" s="482"/>
      <c r="GXL45" s="312"/>
      <c r="GXM45" s="656"/>
      <c r="GXN45" s="657"/>
      <c r="GXO45" s="656"/>
      <c r="GXP45" s="657"/>
      <c r="GXQ45" s="656"/>
      <c r="GXR45" s="658"/>
      <c r="GXS45" s="656"/>
      <c r="GXT45" s="658"/>
      <c r="GXW45" s="288"/>
      <c r="GXX45" s="312"/>
      <c r="GXY45" s="482"/>
      <c r="GXZ45" s="312"/>
      <c r="GYA45" s="656"/>
      <c r="GYB45" s="657"/>
      <c r="GYC45" s="656"/>
      <c r="GYD45" s="657"/>
      <c r="GYE45" s="656"/>
      <c r="GYF45" s="658"/>
      <c r="GYG45" s="656"/>
      <c r="GYH45" s="658"/>
      <c r="GYK45" s="288"/>
      <c r="GYL45" s="312"/>
      <c r="GYM45" s="482"/>
      <c r="GYN45" s="312"/>
      <c r="GYO45" s="656"/>
      <c r="GYP45" s="657"/>
      <c r="GYQ45" s="656"/>
      <c r="GYR45" s="657"/>
      <c r="GYS45" s="656"/>
      <c r="GYT45" s="658"/>
      <c r="GYU45" s="656"/>
      <c r="GYV45" s="658"/>
      <c r="GYY45" s="288"/>
      <c r="GYZ45" s="312"/>
      <c r="GZA45" s="482"/>
      <c r="GZB45" s="312"/>
      <c r="GZC45" s="656"/>
      <c r="GZD45" s="657"/>
      <c r="GZE45" s="656"/>
      <c r="GZF45" s="657"/>
      <c r="GZG45" s="656"/>
      <c r="GZH45" s="658"/>
      <c r="GZI45" s="656"/>
      <c r="GZJ45" s="658"/>
      <c r="GZM45" s="288"/>
      <c r="GZN45" s="312"/>
      <c r="GZO45" s="482"/>
      <c r="GZP45" s="312"/>
      <c r="GZQ45" s="656"/>
      <c r="GZR45" s="657"/>
      <c r="GZS45" s="656"/>
      <c r="GZT45" s="657"/>
      <c r="GZU45" s="656"/>
      <c r="GZV45" s="658"/>
      <c r="GZW45" s="656"/>
      <c r="GZX45" s="658"/>
      <c r="HAA45" s="288"/>
      <c r="HAB45" s="312"/>
      <c r="HAC45" s="482"/>
      <c r="HAD45" s="312"/>
      <c r="HAE45" s="656"/>
      <c r="HAF45" s="657"/>
      <c r="HAG45" s="656"/>
      <c r="HAH45" s="657"/>
      <c r="HAI45" s="656"/>
      <c r="HAJ45" s="658"/>
      <c r="HAK45" s="656"/>
      <c r="HAL45" s="658"/>
      <c r="HAO45" s="288"/>
      <c r="HAP45" s="312"/>
      <c r="HAQ45" s="482"/>
      <c r="HAR45" s="312"/>
      <c r="HAS45" s="656"/>
      <c r="HAT45" s="657"/>
      <c r="HAU45" s="656"/>
      <c r="HAV45" s="657"/>
      <c r="HAW45" s="656"/>
      <c r="HAX45" s="658"/>
      <c r="HAY45" s="656"/>
      <c r="HAZ45" s="658"/>
      <c r="HBC45" s="288"/>
      <c r="HBD45" s="312"/>
      <c r="HBE45" s="482"/>
      <c r="HBF45" s="312"/>
      <c r="HBG45" s="656"/>
      <c r="HBH45" s="657"/>
      <c r="HBI45" s="656"/>
      <c r="HBJ45" s="657"/>
      <c r="HBK45" s="656"/>
      <c r="HBL45" s="658"/>
      <c r="HBM45" s="656"/>
      <c r="HBN45" s="658"/>
      <c r="HBQ45" s="288"/>
      <c r="HBR45" s="312"/>
      <c r="HBS45" s="482"/>
      <c r="HBT45" s="312"/>
      <c r="HBU45" s="656"/>
      <c r="HBV45" s="657"/>
      <c r="HBW45" s="656"/>
      <c r="HBX45" s="657"/>
      <c r="HBY45" s="656"/>
      <c r="HBZ45" s="658"/>
      <c r="HCA45" s="656"/>
      <c r="HCB45" s="658"/>
      <c r="HCE45" s="288"/>
      <c r="HCF45" s="312"/>
      <c r="HCG45" s="482"/>
      <c r="HCH45" s="312"/>
      <c r="HCI45" s="656"/>
      <c r="HCJ45" s="657"/>
      <c r="HCK45" s="656"/>
      <c r="HCL45" s="657"/>
      <c r="HCM45" s="656"/>
      <c r="HCN45" s="658"/>
      <c r="HCO45" s="656"/>
      <c r="HCP45" s="658"/>
      <c r="HCS45" s="288"/>
      <c r="HCT45" s="312"/>
      <c r="HCU45" s="482"/>
      <c r="HCV45" s="312"/>
      <c r="HCW45" s="656"/>
      <c r="HCX45" s="657"/>
      <c r="HCY45" s="656"/>
      <c r="HCZ45" s="657"/>
      <c r="HDA45" s="656"/>
      <c r="HDB45" s="658"/>
      <c r="HDC45" s="656"/>
      <c r="HDD45" s="658"/>
      <c r="HDG45" s="288"/>
      <c r="HDH45" s="312"/>
      <c r="HDI45" s="482"/>
      <c r="HDJ45" s="312"/>
      <c r="HDK45" s="656"/>
      <c r="HDL45" s="657"/>
      <c r="HDM45" s="656"/>
      <c r="HDN45" s="657"/>
      <c r="HDO45" s="656"/>
      <c r="HDP45" s="658"/>
      <c r="HDQ45" s="656"/>
      <c r="HDR45" s="658"/>
      <c r="HDU45" s="288"/>
      <c r="HDV45" s="312"/>
      <c r="HDW45" s="482"/>
      <c r="HDX45" s="312"/>
      <c r="HDY45" s="656"/>
      <c r="HDZ45" s="657"/>
      <c r="HEA45" s="656"/>
      <c r="HEB45" s="657"/>
      <c r="HEC45" s="656"/>
      <c r="HED45" s="658"/>
      <c r="HEE45" s="656"/>
      <c r="HEF45" s="658"/>
      <c r="HEI45" s="288"/>
      <c r="HEJ45" s="312"/>
      <c r="HEK45" s="482"/>
      <c r="HEL45" s="312"/>
      <c r="HEM45" s="656"/>
      <c r="HEN45" s="657"/>
      <c r="HEO45" s="656"/>
      <c r="HEP45" s="657"/>
      <c r="HEQ45" s="656"/>
      <c r="HER45" s="658"/>
      <c r="HES45" s="656"/>
      <c r="HET45" s="658"/>
      <c r="HEW45" s="288"/>
      <c r="HEX45" s="312"/>
      <c r="HEY45" s="482"/>
      <c r="HEZ45" s="312"/>
      <c r="HFA45" s="656"/>
      <c r="HFB45" s="657"/>
      <c r="HFC45" s="656"/>
      <c r="HFD45" s="657"/>
      <c r="HFE45" s="656"/>
      <c r="HFF45" s="658"/>
      <c r="HFG45" s="656"/>
      <c r="HFH45" s="658"/>
      <c r="HFK45" s="288"/>
      <c r="HFL45" s="312"/>
      <c r="HFM45" s="482"/>
      <c r="HFN45" s="312"/>
      <c r="HFO45" s="656"/>
      <c r="HFP45" s="657"/>
      <c r="HFQ45" s="656"/>
      <c r="HFR45" s="657"/>
      <c r="HFS45" s="656"/>
      <c r="HFT45" s="658"/>
      <c r="HFU45" s="656"/>
      <c r="HFV45" s="658"/>
      <c r="HFY45" s="288"/>
      <c r="HFZ45" s="312"/>
      <c r="HGA45" s="482"/>
      <c r="HGB45" s="312"/>
      <c r="HGC45" s="656"/>
      <c r="HGD45" s="657"/>
      <c r="HGE45" s="656"/>
      <c r="HGF45" s="657"/>
      <c r="HGG45" s="656"/>
      <c r="HGH45" s="658"/>
      <c r="HGI45" s="656"/>
      <c r="HGJ45" s="658"/>
      <c r="HGM45" s="288"/>
      <c r="HGN45" s="312"/>
      <c r="HGO45" s="482"/>
      <c r="HGP45" s="312"/>
      <c r="HGQ45" s="656"/>
      <c r="HGR45" s="657"/>
      <c r="HGS45" s="656"/>
      <c r="HGT45" s="657"/>
      <c r="HGU45" s="656"/>
      <c r="HGV45" s="658"/>
      <c r="HGW45" s="656"/>
      <c r="HGX45" s="658"/>
      <c r="HHA45" s="288"/>
      <c r="HHB45" s="312"/>
      <c r="HHC45" s="482"/>
      <c r="HHD45" s="312"/>
      <c r="HHE45" s="656"/>
      <c r="HHF45" s="657"/>
      <c r="HHG45" s="656"/>
      <c r="HHH45" s="657"/>
      <c r="HHI45" s="656"/>
      <c r="HHJ45" s="658"/>
      <c r="HHK45" s="656"/>
      <c r="HHL45" s="658"/>
      <c r="HHO45" s="288"/>
      <c r="HHP45" s="312"/>
      <c r="HHQ45" s="482"/>
      <c r="HHR45" s="312"/>
      <c r="HHS45" s="656"/>
      <c r="HHT45" s="657"/>
      <c r="HHU45" s="656"/>
      <c r="HHV45" s="657"/>
      <c r="HHW45" s="656"/>
      <c r="HHX45" s="658"/>
      <c r="HHY45" s="656"/>
      <c r="HHZ45" s="658"/>
      <c r="HIC45" s="288"/>
      <c r="HID45" s="312"/>
      <c r="HIE45" s="482"/>
      <c r="HIF45" s="312"/>
      <c r="HIG45" s="656"/>
      <c r="HIH45" s="657"/>
      <c r="HII45" s="656"/>
      <c r="HIJ45" s="657"/>
      <c r="HIK45" s="656"/>
      <c r="HIL45" s="658"/>
      <c r="HIM45" s="656"/>
      <c r="HIN45" s="658"/>
      <c r="HIQ45" s="288"/>
      <c r="HIR45" s="312"/>
      <c r="HIS45" s="482"/>
      <c r="HIT45" s="312"/>
      <c r="HIU45" s="656"/>
      <c r="HIV45" s="657"/>
      <c r="HIW45" s="656"/>
      <c r="HIX45" s="657"/>
      <c r="HIY45" s="656"/>
      <c r="HIZ45" s="658"/>
      <c r="HJA45" s="656"/>
      <c r="HJB45" s="658"/>
      <c r="HJE45" s="288"/>
      <c r="HJF45" s="312"/>
      <c r="HJG45" s="482"/>
      <c r="HJH45" s="312"/>
      <c r="HJI45" s="656"/>
      <c r="HJJ45" s="657"/>
      <c r="HJK45" s="656"/>
      <c r="HJL45" s="657"/>
      <c r="HJM45" s="656"/>
      <c r="HJN45" s="658"/>
      <c r="HJO45" s="656"/>
      <c r="HJP45" s="658"/>
      <c r="HJS45" s="288"/>
      <c r="HJT45" s="312"/>
      <c r="HJU45" s="482"/>
      <c r="HJV45" s="312"/>
      <c r="HJW45" s="656"/>
      <c r="HJX45" s="657"/>
      <c r="HJY45" s="656"/>
      <c r="HJZ45" s="657"/>
      <c r="HKA45" s="656"/>
      <c r="HKB45" s="658"/>
      <c r="HKC45" s="656"/>
      <c r="HKD45" s="658"/>
      <c r="HKG45" s="288"/>
      <c r="HKH45" s="312"/>
      <c r="HKI45" s="482"/>
      <c r="HKJ45" s="312"/>
      <c r="HKK45" s="656"/>
      <c r="HKL45" s="657"/>
      <c r="HKM45" s="656"/>
      <c r="HKN45" s="657"/>
      <c r="HKO45" s="656"/>
      <c r="HKP45" s="658"/>
      <c r="HKQ45" s="656"/>
      <c r="HKR45" s="658"/>
      <c r="HKU45" s="288"/>
      <c r="HKV45" s="312"/>
      <c r="HKW45" s="482"/>
      <c r="HKX45" s="312"/>
      <c r="HKY45" s="656"/>
      <c r="HKZ45" s="657"/>
      <c r="HLA45" s="656"/>
      <c r="HLB45" s="657"/>
      <c r="HLC45" s="656"/>
      <c r="HLD45" s="658"/>
      <c r="HLE45" s="656"/>
      <c r="HLF45" s="658"/>
      <c r="HLI45" s="288"/>
      <c r="HLJ45" s="312"/>
      <c r="HLK45" s="482"/>
      <c r="HLL45" s="312"/>
      <c r="HLM45" s="656"/>
      <c r="HLN45" s="657"/>
      <c r="HLO45" s="656"/>
      <c r="HLP45" s="657"/>
      <c r="HLQ45" s="656"/>
      <c r="HLR45" s="658"/>
      <c r="HLS45" s="656"/>
      <c r="HLT45" s="658"/>
      <c r="HLW45" s="288"/>
      <c r="HLX45" s="312"/>
      <c r="HLY45" s="482"/>
      <c r="HLZ45" s="312"/>
      <c r="HMA45" s="656"/>
      <c r="HMB45" s="657"/>
      <c r="HMC45" s="656"/>
      <c r="HMD45" s="657"/>
      <c r="HME45" s="656"/>
      <c r="HMF45" s="658"/>
      <c r="HMG45" s="656"/>
      <c r="HMH45" s="658"/>
      <c r="HMK45" s="288"/>
      <c r="HML45" s="312"/>
      <c r="HMM45" s="482"/>
      <c r="HMN45" s="312"/>
      <c r="HMO45" s="656"/>
      <c r="HMP45" s="657"/>
      <c r="HMQ45" s="656"/>
      <c r="HMR45" s="657"/>
      <c r="HMS45" s="656"/>
      <c r="HMT45" s="658"/>
      <c r="HMU45" s="656"/>
      <c r="HMV45" s="658"/>
      <c r="HMY45" s="288"/>
      <c r="HMZ45" s="312"/>
      <c r="HNA45" s="482"/>
      <c r="HNB45" s="312"/>
      <c r="HNC45" s="656"/>
      <c r="HND45" s="657"/>
      <c r="HNE45" s="656"/>
      <c r="HNF45" s="657"/>
      <c r="HNG45" s="656"/>
      <c r="HNH45" s="658"/>
      <c r="HNI45" s="656"/>
      <c r="HNJ45" s="658"/>
      <c r="HNM45" s="288"/>
      <c r="HNN45" s="312"/>
      <c r="HNO45" s="482"/>
      <c r="HNP45" s="312"/>
      <c r="HNQ45" s="656"/>
      <c r="HNR45" s="657"/>
      <c r="HNS45" s="656"/>
      <c r="HNT45" s="657"/>
      <c r="HNU45" s="656"/>
      <c r="HNV45" s="658"/>
      <c r="HNW45" s="656"/>
      <c r="HNX45" s="658"/>
      <c r="HOA45" s="288"/>
      <c r="HOB45" s="312"/>
      <c r="HOC45" s="482"/>
      <c r="HOD45" s="312"/>
      <c r="HOE45" s="656"/>
      <c r="HOF45" s="657"/>
      <c r="HOG45" s="656"/>
      <c r="HOH45" s="657"/>
      <c r="HOI45" s="656"/>
      <c r="HOJ45" s="658"/>
      <c r="HOK45" s="656"/>
      <c r="HOL45" s="658"/>
      <c r="HOO45" s="288"/>
      <c r="HOP45" s="312"/>
      <c r="HOQ45" s="482"/>
      <c r="HOR45" s="312"/>
      <c r="HOS45" s="656"/>
      <c r="HOT45" s="657"/>
      <c r="HOU45" s="656"/>
      <c r="HOV45" s="657"/>
      <c r="HOW45" s="656"/>
      <c r="HOX45" s="658"/>
      <c r="HOY45" s="656"/>
      <c r="HOZ45" s="658"/>
      <c r="HPC45" s="288"/>
      <c r="HPD45" s="312"/>
      <c r="HPE45" s="482"/>
      <c r="HPF45" s="312"/>
      <c r="HPG45" s="656"/>
      <c r="HPH45" s="657"/>
      <c r="HPI45" s="656"/>
      <c r="HPJ45" s="657"/>
      <c r="HPK45" s="656"/>
      <c r="HPL45" s="658"/>
      <c r="HPM45" s="656"/>
      <c r="HPN45" s="658"/>
      <c r="HPQ45" s="288"/>
      <c r="HPR45" s="312"/>
      <c r="HPS45" s="482"/>
      <c r="HPT45" s="312"/>
      <c r="HPU45" s="656"/>
      <c r="HPV45" s="657"/>
      <c r="HPW45" s="656"/>
      <c r="HPX45" s="657"/>
      <c r="HPY45" s="656"/>
      <c r="HPZ45" s="658"/>
      <c r="HQA45" s="656"/>
      <c r="HQB45" s="658"/>
      <c r="HQE45" s="288"/>
      <c r="HQF45" s="312"/>
      <c r="HQG45" s="482"/>
      <c r="HQH45" s="312"/>
      <c r="HQI45" s="656"/>
      <c r="HQJ45" s="657"/>
      <c r="HQK45" s="656"/>
      <c r="HQL45" s="657"/>
      <c r="HQM45" s="656"/>
      <c r="HQN45" s="658"/>
      <c r="HQO45" s="656"/>
      <c r="HQP45" s="658"/>
      <c r="HQS45" s="288"/>
      <c r="HQT45" s="312"/>
      <c r="HQU45" s="482"/>
      <c r="HQV45" s="312"/>
      <c r="HQW45" s="656"/>
      <c r="HQX45" s="657"/>
      <c r="HQY45" s="656"/>
      <c r="HQZ45" s="657"/>
      <c r="HRA45" s="656"/>
      <c r="HRB45" s="658"/>
      <c r="HRC45" s="656"/>
      <c r="HRD45" s="658"/>
      <c r="HRG45" s="288"/>
      <c r="HRH45" s="312"/>
      <c r="HRI45" s="482"/>
      <c r="HRJ45" s="312"/>
      <c r="HRK45" s="656"/>
      <c r="HRL45" s="657"/>
      <c r="HRM45" s="656"/>
      <c r="HRN45" s="657"/>
      <c r="HRO45" s="656"/>
      <c r="HRP45" s="658"/>
      <c r="HRQ45" s="656"/>
      <c r="HRR45" s="658"/>
      <c r="HRU45" s="288"/>
      <c r="HRV45" s="312"/>
      <c r="HRW45" s="482"/>
      <c r="HRX45" s="312"/>
      <c r="HRY45" s="656"/>
      <c r="HRZ45" s="657"/>
      <c r="HSA45" s="656"/>
      <c r="HSB45" s="657"/>
      <c r="HSC45" s="656"/>
      <c r="HSD45" s="658"/>
      <c r="HSE45" s="656"/>
      <c r="HSF45" s="658"/>
      <c r="HSI45" s="288"/>
      <c r="HSJ45" s="312"/>
      <c r="HSK45" s="482"/>
      <c r="HSL45" s="312"/>
      <c r="HSM45" s="656"/>
      <c r="HSN45" s="657"/>
      <c r="HSO45" s="656"/>
      <c r="HSP45" s="657"/>
      <c r="HSQ45" s="656"/>
      <c r="HSR45" s="658"/>
      <c r="HSS45" s="656"/>
      <c r="HST45" s="658"/>
      <c r="HSW45" s="288"/>
      <c r="HSX45" s="312"/>
      <c r="HSY45" s="482"/>
      <c r="HSZ45" s="312"/>
      <c r="HTA45" s="656"/>
      <c r="HTB45" s="657"/>
      <c r="HTC45" s="656"/>
      <c r="HTD45" s="657"/>
      <c r="HTE45" s="656"/>
      <c r="HTF45" s="658"/>
      <c r="HTG45" s="656"/>
      <c r="HTH45" s="658"/>
      <c r="HTK45" s="288"/>
      <c r="HTL45" s="312"/>
      <c r="HTM45" s="482"/>
      <c r="HTN45" s="312"/>
      <c r="HTO45" s="656"/>
      <c r="HTP45" s="657"/>
      <c r="HTQ45" s="656"/>
      <c r="HTR45" s="657"/>
      <c r="HTS45" s="656"/>
      <c r="HTT45" s="658"/>
      <c r="HTU45" s="656"/>
      <c r="HTV45" s="658"/>
      <c r="HTY45" s="288"/>
      <c r="HTZ45" s="312"/>
      <c r="HUA45" s="482"/>
      <c r="HUB45" s="312"/>
      <c r="HUC45" s="656"/>
      <c r="HUD45" s="657"/>
      <c r="HUE45" s="656"/>
      <c r="HUF45" s="657"/>
      <c r="HUG45" s="656"/>
      <c r="HUH45" s="658"/>
      <c r="HUI45" s="656"/>
      <c r="HUJ45" s="658"/>
      <c r="HUM45" s="288"/>
      <c r="HUN45" s="312"/>
      <c r="HUO45" s="482"/>
      <c r="HUP45" s="312"/>
      <c r="HUQ45" s="656"/>
      <c r="HUR45" s="657"/>
      <c r="HUS45" s="656"/>
      <c r="HUT45" s="657"/>
      <c r="HUU45" s="656"/>
      <c r="HUV45" s="658"/>
      <c r="HUW45" s="656"/>
      <c r="HUX45" s="658"/>
      <c r="HVA45" s="288"/>
      <c r="HVB45" s="312"/>
      <c r="HVC45" s="482"/>
      <c r="HVD45" s="312"/>
      <c r="HVE45" s="656"/>
      <c r="HVF45" s="657"/>
      <c r="HVG45" s="656"/>
      <c r="HVH45" s="657"/>
      <c r="HVI45" s="656"/>
      <c r="HVJ45" s="658"/>
      <c r="HVK45" s="656"/>
      <c r="HVL45" s="658"/>
      <c r="HVO45" s="288"/>
      <c r="HVP45" s="312"/>
      <c r="HVQ45" s="482"/>
      <c r="HVR45" s="312"/>
      <c r="HVS45" s="656"/>
      <c r="HVT45" s="657"/>
      <c r="HVU45" s="656"/>
      <c r="HVV45" s="657"/>
      <c r="HVW45" s="656"/>
      <c r="HVX45" s="658"/>
      <c r="HVY45" s="656"/>
      <c r="HVZ45" s="658"/>
      <c r="HWC45" s="288"/>
      <c r="HWD45" s="312"/>
      <c r="HWE45" s="482"/>
      <c r="HWF45" s="312"/>
      <c r="HWG45" s="656"/>
      <c r="HWH45" s="657"/>
      <c r="HWI45" s="656"/>
      <c r="HWJ45" s="657"/>
      <c r="HWK45" s="656"/>
      <c r="HWL45" s="658"/>
      <c r="HWM45" s="656"/>
      <c r="HWN45" s="658"/>
      <c r="HWQ45" s="288"/>
      <c r="HWR45" s="312"/>
      <c r="HWS45" s="482"/>
      <c r="HWT45" s="312"/>
      <c r="HWU45" s="656"/>
      <c r="HWV45" s="657"/>
      <c r="HWW45" s="656"/>
      <c r="HWX45" s="657"/>
      <c r="HWY45" s="656"/>
      <c r="HWZ45" s="658"/>
      <c r="HXA45" s="656"/>
      <c r="HXB45" s="658"/>
      <c r="HXE45" s="288"/>
      <c r="HXF45" s="312"/>
      <c r="HXG45" s="482"/>
      <c r="HXH45" s="312"/>
      <c r="HXI45" s="656"/>
      <c r="HXJ45" s="657"/>
      <c r="HXK45" s="656"/>
      <c r="HXL45" s="657"/>
      <c r="HXM45" s="656"/>
      <c r="HXN45" s="658"/>
      <c r="HXO45" s="656"/>
      <c r="HXP45" s="658"/>
      <c r="HXS45" s="288"/>
      <c r="HXT45" s="312"/>
      <c r="HXU45" s="482"/>
      <c r="HXV45" s="312"/>
      <c r="HXW45" s="656"/>
      <c r="HXX45" s="657"/>
      <c r="HXY45" s="656"/>
      <c r="HXZ45" s="657"/>
      <c r="HYA45" s="656"/>
      <c r="HYB45" s="658"/>
      <c r="HYC45" s="656"/>
      <c r="HYD45" s="658"/>
      <c r="HYG45" s="288"/>
      <c r="HYH45" s="312"/>
      <c r="HYI45" s="482"/>
      <c r="HYJ45" s="312"/>
      <c r="HYK45" s="656"/>
      <c r="HYL45" s="657"/>
      <c r="HYM45" s="656"/>
      <c r="HYN45" s="657"/>
      <c r="HYO45" s="656"/>
      <c r="HYP45" s="658"/>
      <c r="HYQ45" s="656"/>
      <c r="HYR45" s="658"/>
      <c r="HYU45" s="288"/>
      <c r="HYV45" s="312"/>
      <c r="HYW45" s="482"/>
      <c r="HYX45" s="312"/>
      <c r="HYY45" s="656"/>
      <c r="HYZ45" s="657"/>
      <c r="HZA45" s="656"/>
      <c r="HZB45" s="657"/>
      <c r="HZC45" s="656"/>
      <c r="HZD45" s="658"/>
      <c r="HZE45" s="656"/>
      <c r="HZF45" s="658"/>
      <c r="HZI45" s="288"/>
      <c r="HZJ45" s="312"/>
      <c r="HZK45" s="482"/>
      <c r="HZL45" s="312"/>
      <c r="HZM45" s="656"/>
      <c r="HZN45" s="657"/>
      <c r="HZO45" s="656"/>
      <c r="HZP45" s="657"/>
      <c r="HZQ45" s="656"/>
      <c r="HZR45" s="658"/>
      <c r="HZS45" s="656"/>
      <c r="HZT45" s="658"/>
      <c r="HZW45" s="288"/>
      <c r="HZX45" s="312"/>
      <c r="HZY45" s="482"/>
      <c r="HZZ45" s="312"/>
      <c r="IAA45" s="656"/>
      <c r="IAB45" s="657"/>
      <c r="IAC45" s="656"/>
      <c r="IAD45" s="657"/>
      <c r="IAE45" s="656"/>
      <c r="IAF45" s="658"/>
      <c r="IAG45" s="656"/>
      <c r="IAH45" s="658"/>
      <c r="IAK45" s="288"/>
      <c r="IAL45" s="312"/>
      <c r="IAM45" s="482"/>
      <c r="IAN45" s="312"/>
      <c r="IAO45" s="656"/>
      <c r="IAP45" s="657"/>
      <c r="IAQ45" s="656"/>
      <c r="IAR45" s="657"/>
      <c r="IAS45" s="656"/>
      <c r="IAT45" s="658"/>
      <c r="IAU45" s="656"/>
      <c r="IAV45" s="658"/>
      <c r="IAY45" s="288"/>
      <c r="IAZ45" s="312"/>
      <c r="IBA45" s="482"/>
      <c r="IBB45" s="312"/>
      <c r="IBC45" s="656"/>
      <c r="IBD45" s="657"/>
      <c r="IBE45" s="656"/>
      <c r="IBF45" s="657"/>
      <c r="IBG45" s="656"/>
      <c r="IBH45" s="658"/>
      <c r="IBI45" s="656"/>
      <c r="IBJ45" s="658"/>
      <c r="IBM45" s="288"/>
      <c r="IBN45" s="312"/>
      <c r="IBO45" s="482"/>
      <c r="IBP45" s="312"/>
      <c r="IBQ45" s="656"/>
      <c r="IBR45" s="657"/>
      <c r="IBS45" s="656"/>
      <c r="IBT45" s="657"/>
      <c r="IBU45" s="656"/>
      <c r="IBV45" s="658"/>
      <c r="IBW45" s="656"/>
      <c r="IBX45" s="658"/>
      <c r="ICA45" s="288"/>
      <c r="ICB45" s="312"/>
      <c r="ICC45" s="482"/>
      <c r="ICD45" s="312"/>
      <c r="ICE45" s="656"/>
      <c r="ICF45" s="657"/>
      <c r="ICG45" s="656"/>
      <c r="ICH45" s="657"/>
      <c r="ICI45" s="656"/>
      <c r="ICJ45" s="658"/>
      <c r="ICK45" s="656"/>
      <c r="ICL45" s="658"/>
      <c r="ICO45" s="288"/>
      <c r="ICP45" s="312"/>
      <c r="ICQ45" s="482"/>
      <c r="ICR45" s="312"/>
      <c r="ICS45" s="656"/>
      <c r="ICT45" s="657"/>
      <c r="ICU45" s="656"/>
      <c r="ICV45" s="657"/>
      <c r="ICW45" s="656"/>
      <c r="ICX45" s="658"/>
      <c r="ICY45" s="656"/>
      <c r="ICZ45" s="658"/>
      <c r="IDC45" s="288"/>
      <c r="IDD45" s="312"/>
      <c r="IDE45" s="482"/>
      <c r="IDF45" s="312"/>
      <c r="IDG45" s="656"/>
      <c r="IDH45" s="657"/>
      <c r="IDI45" s="656"/>
      <c r="IDJ45" s="657"/>
      <c r="IDK45" s="656"/>
      <c r="IDL45" s="658"/>
      <c r="IDM45" s="656"/>
      <c r="IDN45" s="658"/>
      <c r="IDQ45" s="288"/>
      <c r="IDR45" s="312"/>
      <c r="IDS45" s="482"/>
      <c r="IDT45" s="312"/>
      <c r="IDU45" s="656"/>
      <c r="IDV45" s="657"/>
      <c r="IDW45" s="656"/>
      <c r="IDX45" s="657"/>
      <c r="IDY45" s="656"/>
      <c r="IDZ45" s="658"/>
      <c r="IEA45" s="656"/>
      <c r="IEB45" s="658"/>
      <c r="IEE45" s="288"/>
      <c r="IEF45" s="312"/>
      <c r="IEG45" s="482"/>
      <c r="IEH45" s="312"/>
      <c r="IEI45" s="656"/>
      <c r="IEJ45" s="657"/>
      <c r="IEK45" s="656"/>
      <c r="IEL45" s="657"/>
      <c r="IEM45" s="656"/>
      <c r="IEN45" s="658"/>
      <c r="IEO45" s="656"/>
      <c r="IEP45" s="658"/>
      <c r="IES45" s="288"/>
      <c r="IET45" s="312"/>
      <c r="IEU45" s="482"/>
      <c r="IEV45" s="312"/>
      <c r="IEW45" s="656"/>
      <c r="IEX45" s="657"/>
      <c r="IEY45" s="656"/>
      <c r="IEZ45" s="657"/>
      <c r="IFA45" s="656"/>
      <c r="IFB45" s="658"/>
      <c r="IFC45" s="656"/>
      <c r="IFD45" s="658"/>
      <c r="IFG45" s="288"/>
      <c r="IFH45" s="312"/>
      <c r="IFI45" s="482"/>
      <c r="IFJ45" s="312"/>
      <c r="IFK45" s="656"/>
      <c r="IFL45" s="657"/>
      <c r="IFM45" s="656"/>
      <c r="IFN45" s="657"/>
      <c r="IFO45" s="656"/>
      <c r="IFP45" s="658"/>
      <c r="IFQ45" s="656"/>
      <c r="IFR45" s="658"/>
      <c r="IFU45" s="288"/>
      <c r="IFV45" s="312"/>
      <c r="IFW45" s="482"/>
      <c r="IFX45" s="312"/>
      <c r="IFY45" s="656"/>
      <c r="IFZ45" s="657"/>
      <c r="IGA45" s="656"/>
      <c r="IGB45" s="657"/>
      <c r="IGC45" s="656"/>
      <c r="IGD45" s="658"/>
      <c r="IGE45" s="656"/>
      <c r="IGF45" s="658"/>
      <c r="IGI45" s="288"/>
      <c r="IGJ45" s="312"/>
      <c r="IGK45" s="482"/>
      <c r="IGL45" s="312"/>
      <c r="IGM45" s="656"/>
      <c r="IGN45" s="657"/>
      <c r="IGO45" s="656"/>
      <c r="IGP45" s="657"/>
      <c r="IGQ45" s="656"/>
      <c r="IGR45" s="658"/>
      <c r="IGS45" s="656"/>
      <c r="IGT45" s="658"/>
      <c r="IGW45" s="288"/>
      <c r="IGX45" s="312"/>
      <c r="IGY45" s="482"/>
      <c r="IGZ45" s="312"/>
      <c r="IHA45" s="656"/>
      <c r="IHB45" s="657"/>
      <c r="IHC45" s="656"/>
      <c r="IHD45" s="657"/>
      <c r="IHE45" s="656"/>
      <c r="IHF45" s="658"/>
      <c r="IHG45" s="656"/>
      <c r="IHH45" s="658"/>
      <c r="IHK45" s="288"/>
      <c r="IHL45" s="312"/>
      <c r="IHM45" s="482"/>
      <c r="IHN45" s="312"/>
      <c r="IHO45" s="656"/>
      <c r="IHP45" s="657"/>
      <c r="IHQ45" s="656"/>
      <c r="IHR45" s="657"/>
      <c r="IHS45" s="656"/>
      <c r="IHT45" s="658"/>
      <c r="IHU45" s="656"/>
      <c r="IHV45" s="658"/>
      <c r="IHY45" s="288"/>
      <c r="IHZ45" s="312"/>
      <c r="IIA45" s="482"/>
      <c r="IIB45" s="312"/>
      <c r="IIC45" s="656"/>
      <c r="IID45" s="657"/>
      <c r="IIE45" s="656"/>
      <c r="IIF45" s="657"/>
      <c r="IIG45" s="656"/>
      <c r="IIH45" s="658"/>
      <c r="III45" s="656"/>
      <c r="IIJ45" s="658"/>
      <c r="IIM45" s="288"/>
      <c r="IIN45" s="312"/>
      <c r="IIO45" s="482"/>
      <c r="IIP45" s="312"/>
      <c r="IIQ45" s="656"/>
      <c r="IIR45" s="657"/>
      <c r="IIS45" s="656"/>
      <c r="IIT45" s="657"/>
      <c r="IIU45" s="656"/>
      <c r="IIV45" s="658"/>
      <c r="IIW45" s="656"/>
      <c r="IIX45" s="658"/>
      <c r="IJA45" s="288"/>
      <c r="IJB45" s="312"/>
      <c r="IJC45" s="482"/>
      <c r="IJD45" s="312"/>
      <c r="IJE45" s="656"/>
      <c r="IJF45" s="657"/>
      <c r="IJG45" s="656"/>
      <c r="IJH45" s="657"/>
      <c r="IJI45" s="656"/>
      <c r="IJJ45" s="658"/>
      <c r="IJK45" s="656"/>
      <c r="IJL45" s="658"/>
      <c r="IJO45" s="288"/>
      <c r="IJP45" s="312"/>
      <c r="IJQ45" s="482"/>
      <c r="IJR45" s="312"/>
      <c r="IJS45" s="656"/>
      <c r="IJT45" s="657"/>
      <c r="IJU45" s="656"/>
      <c r="IJV45" s="657"/>
      <c r="IJW45" s="656"/>
      <c r="IJX45" s="658"/>
      <c r="IJY45" s="656"/>
      <c r="IJZ45" s="658"/>
      <c r="IKC45" s="288"/>
      <c r="IKD45" s="312"/>
      <c r="IKE45" s="482"/>
      <c r="IKF45" s="312"/>
      <c r="IKG45" s="656"/>
      <c r="IKH45" s="657"/>
      <c r="IKI45" s="656"/>
      <c r="IKJ45" s="657"/>
      <c r="IKK45" s="656"/>
      <c r="IKL45" s="658"/>
      <c r="IKM45" s="656"/>
      <c r="IKN45" s="658"/>
      <c r="IKQ45" s="288"/>
      <c r="IKR45" s="312"/>
      <c r="IKS45" s="482"/>
      <c r="IKT45" s="312"/>
      <c r="IKU45" s="656"/>
      <c r="IKV45" s="657"/>
      <c r="IKW45" s="656"/>
      <c r="IKX45" s="657"/>
      <c r="IKY45" s="656"/>
      <c r="IKZ45" s="658"/>
      <c r="ILA45" s="656"/>
      <c r="ILB45" s="658"/>
      <c r="ILE45" s="288"/>
      <c r="ILF45" s="312"/>
      <c r="ILG45" s="482"/>
      <c r="ILH45" s="312"/>
      <c r="ILI45" s="656"/>
      <c r="ILJ45" s="657"/>
      <c r="ILK45" s="656"/>
      <c r="ILL45" s="657"/>
      <c r="ILM45" s="656"/>
      <c r="ILN45" s="658"/>
      <c r="ILO45" s="656"/>
      <c r="ILP45" s="658"/>
      <c r="ILS45" s="288"/>
      <c r="ILT45" s="312"/>
      <c r="ILU45" s="482"/>
      <c r="ILV45" s="312"/>
      <c r="ILW45" s="656"/>
      <c r="ILX45" s="657"/>
      <c r="ILY45" s="656"/>
      <c r="ILZ45" s="657"/>
      <c r="IMA45" s="656"/>
      <c r="IMB45" s="658"/>
      <c r="IMC45" s="656"/>
      <c r="IMD45" s="658"/>
      <c r="IMG45" s="288"/>
      <c r="IMH45" s="312"/>
      <c r="IMI45" s="482"/>
      <c r="IMJ45" s="312"/>
      <c r="IMK45" s="656"/>
      <c r="IML45" s="657"/>
      <c r="IMM45" s="656"/>
      <c r="IMN45" s="657"/>
      <c r="IMO45" s="656"/>
      <c r="IMP45" s="658"/>
      <c r="IMQ45" s="656"/>
      <c r="IMR45" s="658"/>
      <c r="IMU45" s="288"/>
      <c r="IMV45" s="312"/>
      <c r="IMW45" s="482"/>
      <c r="IMX45" s="312"/>
      <c r="IMY45" s="656"/>
      <c r="IMZ45" s="657"/>
      <c r="INA45" s="656"/>
      <c r="INB45" s="657"/>
      <c r="INC45" s="656"/>
      <c r="IND45" s="658"/>
      <c r="INE45" s="656"/>
      <c r="INF45" s="658"/>
      <c r="INI45" s="288"/>
      <c r="INJ45" s="312"/>
      <c r="INK45" s="482"/>
      <c r="INL45" s="312"/>
      <c r="INM45" s="656"/>
      <c r="INN45" s="657"/>
      <c r="INO45" s="656"/>
      <c r="INP45" s="657"/>
      <c r="INQ45" s="656"/>
      <c r="INR45" s="658"/>
      <c r="INS45" s="656"/>
      <c r="INT45" s="658"/>
      <c r="INW45" s="288"/>
      <c r="INX45" s="312"/>
      <c r="INY45" s="482"/>
      <c r="INZ45" s="312"/>
      <c r="IOA45" s="656"/>
      <c r="IOB45" s="657"/>
      <c r="IOC45" s="656"/>
      <c r="IOD45" s="657"/>
      <c r="IOE45" s="656"/>
      <c r="IOF45" s="658"/>
      <c r="IOG45" s="656"/>
      <c r="IOH45" s="658"/>
      <c r="IOK45" s="288"/>
      <c r="IOL45" s="312"/>
      <c r="IOM45" s="482"/>
      <c r="ION45" s="312"/>
      <c r="IOO45" s="656"/>
      <c r="IOP45" s="657"/>
      <c r="IOQ45" s="656"/>
      <c r="IOR45" s="657"/>
      <c r="IOS45" s="656"/>
      <c r="IOT45" s="658"/>
      <c r="IOU45" s="656"/>
      <c r="IOV45" s="658"/>
      <c r="IOY45" s="288"/>
      <c r="IOZ45" s="312"/>
      <c r="IPA45" s="482"/>
      <c r="IPB45" s="312"/>
      <c r="IPC45" s="656"/>
      <c r="IPD45" s="657"/>
      <c r="IPE45" s="656"/>
      <c r="IPF45" s="657"/>
      <c r="IPG45" s="656"/>
      <c r="IPH45" s="658"/>
      <c r="IPI45" s="656"/>
      <c r="IPJ45" s="658"/>
      <c r="IPM45" s="288"/>
      <c r="IPN45" s="312"/>
      <c r="IPO45" s="482"/>
      <c r="IPP45" s="312"/>
      <c r="IPQ45" s="656"/>
      <c r="IPR45" s="657"/>
      <c r="IPS45" s="656"/>
      <c r="IPT45" s="657"/>
      <c r="IPU45" s="656"/>
      <c r="IPV45" s="658"/>
      <c r="IPW45" s="656"/>
      <c r="IPX45" s="658"/>
      <c r="IQA45" s="288"/>
      <c r="IQB45" s="312"/>
      <c r="IQC45" s="482"/>
      <c r="IQD45" s="312"/>
      <c r="IQE45" s="656"/>
      <c r="IQF45" s="657"/>
      <c r="IQG45" s="656"/>
      <c r="IQH45" s="657"/>
      <c r="IQI45" s="656"/>
      <c r="IQJ45" s="658"/>
      <c r="IQK45" s="656"/>
      <c r="IQL45" s="658"/>
      <c r="IQO45" s="288"/>
      <c r="IQP45" s="312"/>
      <c r="IQQ45" s="482"/>
      <c r="IQR45" s="312"/>
      <c r="IQS45" s="656"/>
      <c r="IQT45" s="657"/>
      <c r="IQU45" s="656"/>
      <c r="IQV45" s="657"/>
      <c r="IQW45" s="656"/>
      <c r="IQX45" s="658"/>
      <c r="IQY45" s="656"/>
      <c r="IQZ45" s="658"/>
      <c r="IRC45" s="288"/>
      <c r="IRD45" s="312"/>
      <c r="IRE45" s="482"/>
      <c r="IRF45" s="312"/>
      <c r="IRG45" s="656"/>
      <c r="IRH45" s="657"/>
      <c r="IRI45" s="656"/>
      <c r="IRJ45" s="657"/>
      <c r="IRK45" s="656"/>
      <c r="IRL45" s="658"/>
      <c r="IRM45" s="656"/>
      <c r="IRN45" s="658"/>
      <c r="IRQ45" s="288"/>
      <c r="IRR45" s="312"/>
      <c r="IRS45" s="482"/>
      <c r="IRT45" s="312"/>
      <c r="IRU45" s="656"/>
      <c r="IRV45" s="657"/>
      <c r="IRW45" s="656"/>
      <c r="IRX45" s="657"/>
      <c r="IRY45" s="656"/>
      <c r="IRZ45" s="658"/>
      <c r="ISA45" s="656"/>
      <c r="ISB45" s="658"/>
      <c r="ISE45" s="288"/>
      <c r="ISF45" s="312"/>
      <c r="ISG45" s="482"/>
      <c r="ISH45" s="312"/>
      <c r="ISI45" s="656"/>
      <c r="ISJ45" s="657"/>
      <c r="ISK45" s="656"/>
      <c r="ISL45" s="657"/>
      <c r="ISM45" s="656"/>
      <c r="ISN45" s="658"/>
      <c r="ISO45" s="656"/>
      <c r="ISP45" s="658"/>
      <c r="ISS45" s="288"/>
      <c r="IST45" s="312"/>
      <c r="ISU45" s="482"/>
      <c r="ISV45" s="312"/>
      <c r="ISW45" s="656"/>
      <c r="ISX45" s="657"/>
      <c r="ISY45" s="656"/>
      <c r="ISZ45" s="657"/>
      <c r="ITA45" s="656"/>
      <c r="ITB45" s="658"/>
      <c r="ITC45" s="656"/>
      <c r="ITD45" s="658"/>
      <c r="ITG45" s="288"/>
      <c r="ITH45" s="312"/>
      <c r="ITI45" s="482"/>
      <c r="ITJ45" s="312"/>
      <c r="ITK45" s="656"/>
      <c r="ITL45" s="657"/>
      <c r="ITM45" s="656"/>
      <c r="ITN45" s="657"/>
      <c r="ITO45" s="656"/>
      <c r="ITP45" s="658"/>
      <c r="ITQ45" s="656"/>
      <c r="ITR45" s="658"/>
      <c r="ITU45" s="288"/>
      <c r="ITV45" s="312"/>
      <c r="ITW45" s="482"/>
      <c r="ITX45" s="312"/>
      <c r="ITY45" s="656"/>
      <c r="ITZ45" s="657"/>
      <c r="IUA45" s="656"/>
      <c r="IUB45" s="657"/>
      <c r="IUC45" s="656"/>
      <c r="IUD45" s="658"/>
      <c r="IUE45" s="656"/>
      <c r="IUF45" s="658"/>
      <c r="IUI45" s="288"/>
      <c r="IUJ45" s="312"/>
      <c r="IUK45" s="482"/>
      <c r="IUL45" s="312"/>
      <c r="IUM45" s="656"/>
      <c r="IUN45" s="657"/>
      <c r="IUO45" s="656"/>
      <c r="IUP45" s="657"/>
      <c r="IUQ45" s="656"/>
      <c r="IUR45" s="658"/>
      <c r="IUS45" s="656"/>
      <c r="IUT45" s="658"/>
      <c r="IUW45" s="288"/>
      <c r="IUX45" s="312"/>
      <c r="IUY45" s="482"/>
      <c r="IUZ45" s="312"/>
      <c r="IVA45" s="656"/>
      <c r="IVB45" s="657"/>
      <c r="IVC45" s="656"/>
      <c r="IVD45" s="657"/>
      <c r="IVE45" s="656"/>
      <c r="IVF45" s="658"/>
      <c r="IVG45" s="656"/>
      <c r="IVH45" s="658"/>
      <c r="IVK45" s="288"/>
      <c r="IVL45" s="312"/>
      <c r="IVM45" s="482"/>
      <c r="IVN45" s="312"/>
      <c r="IVO45" s="656"/>
      <c r="IVP45" s="657"/>
      <c r="IVQ45" s="656"/>
      <c r="IVR45" s="657"/>
      <c r="IVS45" s="656"/>
      <c r="IVT45" s="658"/>
      <c r="IVU45" s="656"/>
      <c r="IVV45" s="658"/>
      <c r="IVY45" s="288"/>
      <c r="IVZ45" s="312"/>
      <c r="IWA45" s="482"/>
      <c r="IWB45" s="312"/>
      <c r="IWC45" s="656"/>
      <c r="IWD45" s="657"/>
      <c r="IWE45" s="656"/>
      <c r="IWF45" s="657"/>
      <c r="IWG45" s="656"/>
      <c r="IWH45" s="658"/>
      <c r="IWI45" s="656"/>
      <c r="IWJ45" s="658"/>
      <c r="IWM45" s="288"/>
      <c r="IWN45" s="312"/>
      <c r="IWO45" s="482"/>
      <c r="IWP45" s="312"/>
      <c r="IWQ45" s="656"/>
      <c r="IWR45" s="657"/>
      <c r="IWS45" s="656"/>
      <c r="IWT45" s="657"/>
      <c r="IWU45" s="656"/>
      <c r="IWV45" s="658"/>
      <c r="IWW45" s="656"/>
      <c r="IWX45" s="658"/>
      <c r="IXA45" s="288"/>
      <c r="IXB45" s="312"/>
      <c r="IXC45" s="482"/>
      <c r="IXD45" s="312"/>
      <c r="IXE45" s="656"/>
      <c r="IXF45" s="657"/>
      <c r="IXG45" s="656"/>
      <c r="IXH45" s="657"/>
      <c r="IXI45" s="656"/>
      <c r="IXJ45" s="658"/>
      <c r="IXK45" s="656"/>
      <c r="IXL45" s="658"/>
      <c r="IXO45" s="288"/>
      <c r="IXP45" s="312"/>
      <c r="IXQ45" s="482"/>
      <c r="IXR45" s="312"/>
      <c r="IXS45" s="656"/>
      <c r="IXT45" s="657"/>
      <c r="IXU45" s="656"/>
      <c r="IXV45" s="657"/>
      <c r="IXW45" s="656"/>
      <c r="IXX45" s="658"/>
      <c r="IXY45" s="656"/>
      <c r="IXZ45" s="658"/>
      <c r="IYC45" s="288"/>
      <c r="IYD45" s="312"/>
      <c r="IYE45" s="482"/>
      <c r="IYF45" s="312"/>
      <c r="IYG45" s="656"/>
      <c r="IYH45" s="657"/>
      <c r="IYI45" s="656"/>
      <c r="IYJ45" s="657"/>
      <c r="IYK45" s="656"/>
      <c r="IYL45" s="658"/>
      <c r="IYM45" s="656"/>
      <c r="IYN45" s="658"/>
      <c r="IYQ45" s="288"/>
      <c r="IYR45" s="312"/>
      <c r="IYS45" s="482"/>
      <c r="IYT45" s="312"/>
      <c r="IYU45" s="656"/>
      <c r="IYV45" s="657"/>
      <c r="IYW45" s="656"/>
      <c r="IYX45" s="657"/>
      <c r="IYY45" s="656"/>
      <c r="IYZ45" s="658"/>
      <c r="IZA45" s="656"/>
      <c r="IZB45" s="658"/>
      <c r="IZE45" s="288"/>
      <c r="IZF45" s="312"/>
      <c r="IZG45" s="482"/>
      <c r="IZH45" s="312"/>
      <c r="IZI45" s="656"/>
      <c r="IZJ45" s="657"/>
      <c r="IZK45" s="656"/>
      <c r="IZL45" s="657"/>
      <c r="IZM45" s="656"/>
      <c r="IZN45" s="658"/>
      <c r="IZO45" s="656"/>
      <c r="IZP45" s="658"/>
      <c r="IZS45" s="288"/>
      <c r="IZT45" s="312"/>
      <c r="IZU45" s="482"/>
      <c r="IZV45" s="312"/>
      <c r="IZW45" s="656"/>
      <c r="IZX45" s="657"/>
      <c r="IZY45" s="656"/>
      <c r="IZZ45" s="657"/>
      <c r="JAA45" s="656"/>
      <c r="JAB45" s="658"/>
      <c r="JAC45" s="656"/>
      <c r="JAD45" s="658"/>
      <c r="JAG45" s="288"/>
      <c r="JAH45" s="312"/>
      <c r="JAI45" s="482"/>
      <c r="JAJ45" s="312"/>
      <c r="JAK45" s="656"/>
      <c r="JAL45" s="657"/>
      <c r="JAM45" s="656"/>
      <c r="JAN45" s="657"/>
      <c r="JAO45" s="656"/>
      <c r="JAP45" s="658"/>
      <c r="JAQ45" s="656"/>
      <c r="JAR45" s="658"/>
      <c r="JAU45" s="288"/>
      <c r="JAV45" s="312"/>
      <c r="JAW45" s="482"/>
      <c r="JAX45" s="312"/>
      <c r="JAY45" s="656"/>
      <c r="JAZ45" s="657"/>
      <c r="JBA45" s="656"/>
      <c r="JBB45" s="657"/>
      <c r="JBC45" s="656"/>
      <c r="JBD45" s="658"/>
      <c r="JBE45" s="656"/>
      <c r="JBF45" s="658"/>
      <c r="JBI45" s="288"/>
      <c r="JBJ45" s="312"/>
      <c r="JBK45" s="482"/>
      <c r="JBL45" s="312"/>
      <c r="JBM45" s="656"/>
      <c r="JBN45" s="657"/>
      <c r="JBO45" s="656"/>
      <c r="JBP45" s="657"/>
      <c r="JBQ45" s="656"/>
      <c r="JBR45" s="658"/>
      <c r="JBS45" s="656"/>
      <c r="JBT45" s="658"/>
      <c r="JBW45" s="288"/>
      <c r="JBX45" s="312"/>
      <c r="JBY45" s="482"/>
      <c r="JBZ45" s="312"/>
      <c r="JCA45" s="656"/>
      <c r="JCB45" s="657"/>
      <c r="JCC45" s="656"/>
      <c r="JCD45" s="657"/>
      <c r="JCE45" s="656"/>
      <c r="JCF45" s="658"/>
      <c r="JCG45" s="656"/>
      <c r="JCH45" s="658"/>
      <c r="JCK45" s="288"/>
      <c r="JCL45" s="312"/>
      <c r="JCM45" s="482"/>
      <c r="JCN45" s="312"/>
      <c r="JCO45" s="656"/>
      <c r="JCP45" s="657"/>
      <c r="JCQ45" s="656"/>
      <c r="JCR45" s="657"/>
      <c r="JCS45" s="656"/>
      <c r="JCT45" s="658"/>
      <c r="JCU45" s="656"/>
      <c r="JCV45" s="658"/>
      <c r="JCY45" s="288"/>
      <c r="JCZ45" s="312"/>
      <c r="JDA45" s="482"/>
      <c r="JDB45" s="312"/>
      <c r="JDC45" s="656"/>
      <c r="JDD45" s="657"/>
      <c r="JDE45" s="656"/>
      <c r="JDF45" s="657"/>
      <c r="JDG45" s="656"/>
      <c r="JDH45" s="658"/>
      <c r="JDI45" s="656"/>
      <c r="JDJ45" s="658"/>
      <c r="JDM45" s="288"/>
      <c r="JDN45" s="312"/>
      <c r="JDO45" s="482"/>
      <c r="JDP45" s="312"/>
      <c r="JDQ45" s="656"/>
      <c r="JDR45" s="657"/>
      <c r="JDS45" s="656"/>
      <c r="JDT45" s="657"/>
      <c r="JDU45" s="656"/>
      <c r="JDV45" s="658"/>
      <c r="JDW45" s="656"/>
      <c r="JDX45" s="658"/>
      <c r="JEA45" s="288"/>
      <c r="JEB45" s="312"/>
      <c r="JEC45" s="482"/>
      <c r="JED45" s="312"/>
      <c r="JEE45" s="656"/>
      <c r="JEF45" s="657"/>
      <c r="JEG45" s="656"/>
      <c r="JEH45" s="657"/>
      <c r="JEI45" s="656"/>
      <c r="JEJ45" s="658"/>
      <c r="JEK45" s="656"/>
      <c r="JEL45" s="658"/>
      <c r="JEO45" s="288"/>
      <c r="JEP45" s="312"/>
      <c r="JEQ45" s="482"/>
      <c r="JER45" s="312"/>
      <c r="JES45" s="656"/>
      <c r="JET45" s="657"/>
      <c r="JEU45" s="656"/>
      <c r="JEV45" s="657"/>
      <c r="JEW45" s="656"/>
      <c r="JEX45" s="658"/>
      <c r="JEY45" s="656"/>
      <c r="JEZ45" s="658"/>
      <c r="JFC45" s="288"/>
      <c r="JFD45" s="312"/>
      <c r="JFE45" s="482"/>
      <c r="JFF45" s="312"/>
      <c r="JFG45" s="656"/>
      <c r="JFH45" s="657"/>
      <c r="JFI45" s="656"/>
      <c r="JFJ45" s="657"/>
      <c r="JFK45" s="656"/>
      <c r="JFL45" s="658"/>
      <c r="JFM45" s="656"/>
      <c r="JFN45" s="658"/>
      <c r="JFQ45" s="288"/>
      <c r="JFR45" s="312"/>
      <c r="JFS45" s="482"/>
      <c r="JFT45" s="312"/>
      <c r="JFU45" s="656"/>
      <c r="JFV45" s="657"/>
      <c r="JFW45" s="656"/>
      <c r="JFX45" s="657"/>
      <c r="JFY45" s="656"/>
      <c r="JFZ45" s="658"/>
      <c r="JGA45" s="656"/>
      <c r="JGB45" s="658"/>
      <c r="JGE45" s="288"/>
      <c r="JGF45" s="312"/>
      <c r="JGG45" s="482"/>
      <c r="JGH45" s="312"/>
      <c r="JGI45" s="656"/>
      <c r="JGJ45" s="657"/>
      <c r="JGK45" s="656"/>
      <c r="JGL45" s="657"/>
      <c r="JGM45" s="656"/>
      <c r="JGN45" s="658"/>
      <c r="JGO45" s="656"/>
      <c r="JGP45" s="658"/>
      <c r="JGS45" s="288"/>
      <c r="JGT45" s="312"/>
      <c r="JGU45" s="482"/>
      <c r="JGV45" s="312"/>
      <c r="JGW45" s="656"/>
      <c r="JGX45" s="657"/>
      <c r="JGY45" s="656"/>
      <c r="JGZ45" s="657"/>
      <c r="JHA45" s="656"/>
      <c r="JHB45" s="658"/>
      <c r="JHC45" s="656"/>
      <c r="JHD45" s="658"/>
      <c r="JHG45" s="288"/>
      <c r="JHH45" s="312"/>
      <c r="JHI45" s="482"/>
      <c r="JHJ45" s="312"/>
      <c r="JHK45" s="656"/>
      <c r="JHL45" s="657"/>
      <c r="JHM45" s="656"/>
      <c r="JHN45" s="657"/>
      <c r="JHO45" s="656"/>
      <c r="JHP45" s="658"/>
      <c r="JHQ45" s="656"/>
      <c r="JHR45" s="658"/>
      <c r="JHU45" s="288"/>
      <c r="JHV45" s="312"/>
      <c r="JHW45" s="482"/>
      <c r="JHX45" s="312"/>
      <c r="JHY45" s="656"/>
      <c r="JHZ45" s="657"/>
      <c r="JIA45" s="656"/>
      <c r="JIB45" s="657"/>
      <c r="JIC45" s="656"/>
      <c r="JID45" s="658"/>
      <c r="JIE45" s="656"/>
      <c r="JIF45" s="658"/>
      <c r="JII45" s="288"/>
      <c r="JIJ45" s="312"/>
      <c r="JIK45" s="482"/>
      <c r="JIL45" s="312"/>
      <c r="JIM45" s="656"/>
      <c r="JIN45" s="657"/>
      <c r="JIO45" s="656"/>
      <c r="JIP45" s="657"/>
      <c r="JIQ45" s="656"/>
      <c r="JIR45" s="658"/>
      <c r="JIS45" s="656"/>
      <c r="JIT45" s="658"/>
      <c r="JIW45" s="288"/>
      <c r="JIX45" s="312"/>
      <c r="JIY45" s="482"/>
      <c r="JIZ45" s="312"/>
      <c r="JJA45" s="656"/>
      <c r="JJB45" s="657"/>
      <c r="JJC45" s="656"/>
      <c r="JJD45" s="657"/>
      <c r="JJE45" s="656"/>
      <c r="JJF45" s="658"/>
      <c r="JJG45" s="656"/>
      <c r="JJH45" s="658"/>
      <c r="JJK45" s="288"/>
      <c r="JJL45" s="312"/>
      <c r="JJM45" s="482"/>
      <c r="JJN45" s="312"/>
      <c r="JJO45" s="656"/>
      <c r="JJP45" s="657"/>
      <c r="JJQ45" s="656"/>
      <c r="JJR45" s="657"/>
      <c r="JJS45" s="656"/>
      <c r="JJT45" s="658"/>
      <c r="JJU45" s="656"/>
      <c r="JJV45" s="658"/>
      <c r="JJY45" s="288"/>
      <c r="JJZ45" s="312"/>
      <c r="JKA45" s="482"/>
      <c r="JKB45" s="312"/>
      <c r="JKC45" s="656"/>
      <c r="JKD45" s="657"/>
      <c r="JKE45" s="656"/>
      <c r="JKF45" s="657"/>
      <c r="JKG45" s="656"/>
      <c r="JKH45" s="658"/>
      <c r="JKI45" s="656"/>
      <c r="JKJ45" s="658"/>
      <c r="JKM45" s="288"/>
      <c r="JKN45" s="312"/>
      <c r="JKO45" s="482"/>
      <c r="JKP45" s="312"/>
      <c r="JKQ45" s="656"/>
      <c r="JKR45" s="657"/>
      <c r="JKS45" s="656"/>
      <c r="JKT45" s="657"/>
      <c r="JKU45" s="656"/>
      <c r="JKV45" s="658"/>
      <c r="JKW45" s="656"/>
      <c r="JKX45" s="658"/>
      <c r="JLA45" s="288"/>
      <c r="JLB45" s="312"/>
      <c r="JLC45" s="482"/>
      <c r="JLD45" s="312"/>
      <c r="JLE45" s="656"/>
      <c r="JLF45" s="657"/>
      <c r="JLG45" s="656"/>
      <c r="JLH45" s="657"/>
      <c r="JLI45" s="656"/>
      <c r="JLJ45" s="658"/>
      <c r="JLK45" s="656"/>
      <c r="JLL45" s="658"/>
      <c r="JLO45" s="288"/>
      <c r="JLP45" s="312"/>
      <c r="JLQ45" s="482"/>
      <c r="JLR45" s="312"/>
      <c r="JLS45" s="656"/>
      <c r="JLT45" s="657"/>
      <c r="JLU45" s="656"/>
      <c r="JLV45" s="657"/>
      <c r="JLW45" s="656"/>
      <c r="JLX45" s="658"/>
      <c r="JLY45" s="656"/>
      <c r="JLZ45" s="658"/>
      <c r="JMC45" s="288"/>
      <c r="JMD45" s="312"/>
      <c r="JME45" s="482"/>
      <c r="JMF45" s="312"/>
      <c r="JMG45" s="656"/>
      <c r="JMH45" s="657"/>
      <c r="JMI45" s="656"/>
      <c r="JMJ45" s="657"/>
      <c r="JMK45" s="656"/>
      <c r="JML45" s="658"/>
      <c r="JMM45" s="656"/>
      <c r="JMN45" s="658"/>
      <c r="JMQ45" s="288"/>
      <c r="JMR45" s="312"/>
      <c r="JMS45" s="482"/>
      <c r="JMT45" s="312"/>
      <c r="JMU45" s="656"/>
      <c r="JMV45" s="657"/>
      <c r="JMW45" s="656"/>
      <c r="JMX45" s="657"/>
      <c r="JMY45" s="656"/>
      <c r="JMZ45" s="658"/>
      <c r="JNA45" s="656"/>
      <c r="JNB45" s="658"/>
      <c r="JNE45" s="288"/>
      <c r="JNF45" s="312"/>
      <c r="JNG45" s="482"/>
      <c r="JNH45" s="312"/>
      <c r="JNI45" s="656"/>
      <c r="JNJ45" s="657"/>
      <c r="JNK45" s="656"/>
      <c r="JNL45" s="657"/>
      <c r="JNM45" s="656"/>
      <c r="JNN45" s="658"/>
      <c r="JNO45" s="656"/>
      <c r="JNP45" s="658"/>
      <c r="JNS45" s="288"/>
      <c r="JNT45" s="312"/>
      <c r="JNU45" s="482"/>
      <c r="JNV45" s="312"/>
      <c r="JNW45" s="656"/>
      <c r="JNX45" s="657"/>
      <c r="JNY45" s="656"/>
      <c r="JNZ45" s="657"/>
      <c r="JOA45" s="656"/>
      <c r="JOB45" s="658"/>
      <c r="JOC45" s="656"/>
      <c r="JOD45" s="658"/>
      <c r="JOG45" s="288"/>
      <c r="JOH45" s="312"/>
      <c r="JOI45" s="482"/>
      <c r="JOJ45" s="312"/>
      <c r="JOK45" s="656"/>
      <c r="JOL45" s="657"/>
      <c r="JOM45" s="656"/>
      <c r="JON45" s="657"/>
      <c r="JOO45" s="656"/>
      <c r="JOP45" s="658"/>
      <c r="JOQ45" s="656"/>
      <c r="JOR45" s="658"/>
      <c r="JOU45" s="288"/>
      <c r="JOV45" s="312"/>
      <c r="JOW45" s="482"/>
      <c r="JOX45" s="312"/>
      <c r="JOY45" s="656"/>
      <c r="JOZ45" s="657"/>
      <c r="JPA45" s="656"/>
      <c r="JPB45" s="657"/>
      <c r="JPC45" s="656"/>
      <c r="JPD45" s="658"/>
      <c r="JPE45" s="656"/>
      <c r="JPF45" s="658"/>
      <c r="JPI45" s="288"/>
      <c r="JPJ45" s="312"/>
      <c r="JPK45" s="482"/>
      <c r="JPL45" s="312"/>
      <c r="JPM45" s="656"/>
      <c r="JPN45" s="657"/>
      <c r="JPO45" s="656"/>
      <c r="JPP45" s="657"/>
      <c r="JPQ45" s="656"/>
      <c r="JPR45" s="658"/>
      <c r="JPS45" s="656"/>
      <c r="JPT45" s="658"/>
      <c r="JPW45" s="288"/>
      <c r="JPX45" s="312"/>
      <c r="JPY45" s="482"/>
      <c r="JPZ45" s="312"/>
      <c r="JQA45" s="656"/>
      <c r="JQB45" s="657"/>
      <c r="JQC45" s="656"/>
      <c r="JQD45" s="657"/>
      <c r="JQE45" s="656"/>
      <c r="JQF45" s="658"/>
      <c r="JQG45" s="656"/>
      <c r="JQH45" s="658"/>
      <c r="JQK45" s="288"/>
      <c r="JQL45" s="312"/>
      <c r="JQM45" s="482"/>
      <c r="JQN45" s="312"/>
      <c r="JQO45" s="656"/>
      <c r="JQP45" s="657"/>
      <c r="JQQ45" s="656"/>
      <c r="JQR45" s="657"/>
      <c r="JQS45" s="656"/>
      <c r="JQT45" s="658"/>
      <c r="JQU45" s="656"/>
      <c r="JQV45" s="658"/>
      <c r="JQY45" s="288"/>
      <c r="JQZ45" s="312"/>
      <c r="JRA45" s="482"/>
      <c r="JRB45" s="312"/>
      <c r="JRC45" s="656"/>
      <c r="JRD45" s="657"/>
      <c r="JRE45" s="656"/>
      <c r="JRF45" s="657"/>
      <c r="JRG45" s="656"/>
      <c r="JRH45" s="658"/>
      <c r="JRI45" s="656"/>
      <c r="JRJ45" s="658"/>
      <c r="JRM45" s="288"/>
      <c r="JRN45" s="312"/>
      <c r="JRO45" s="482"/>
      <c r="JRP45" s="312"/>
      <c r="JRQ45" s="656"/>
      <c r="JRR45" s="657"/>
      <c r="JRS45" s="656"/>
      <c r="JRT45" s="657"/>
      <c r="JRU45" s="656"/>
      <c r="JRV45" s="658"/>
      <c r="JRW45" s="656"/>
      <c r="JRX45" s="658"/>
      <c r="JSA45" s="288"/>
      <c r="JSB45" s="312"/>
      <c r="JSC45" s="482"/>
      <c r="JSD45" s="312"/>
      <c r="JSE45" s="656"/>
      <c r="JSF45" s="657"/>
      <c r="JSG45" s="656"/>
      <c r="JSH45" s="657"/>
      <c r="JSI45" s="656"/>
      <c r="JSJ45" s="658"/>
      <c r="JSK45" s="656"/>
      <c r="JSL45" s="658"/>
      <c r="JSO45" s="288"/>
      <c r="JSP45" s="312"/>
      <c r="JSQ45" s="482"/>
      <c r="JSR45" s="312"/>
      <c r="JSS45" s="656"/>
      <c r="JST45" s="657"/>
      <c r="JSU45" s="656"/>
      <c r="JSV45" s="657"/>
      <c r="JSW45" s="656"/>
      <c r="JSX45" s="658"/>
      <c r="JSY45" s="656"/>
      <c r="JSZ45" s="658"/>
      <c r="JTC45" s="288"/>
      <c r="JTD45" s="312"/>
      <c r="JTE45" s="482"/>
      <c r="JTF45" s="312"/>
      <c r="JTG45" s="656"/>
      <c r="JTH45" s="657"/>
      <c r="JTI45" s="656"/>
      <c r="JTJ45" s="657"/>
      <c r="JTK45" s="656"/>
      <c r="JTL45" s="658"/>
      <c r="JTM45" s="656"/>
      <c r="JTN45" s="658"/>
      <c r="JTQ45" s="288"/>
      <c r="JTR45" s="312"/>
      <c r="JTS45" s="482"/>
      <c r="JTT45" s="312"/>
      <c r="JTU45" s="656"/>
      <c r="JTV45" s="657"/>
      <c r="JTW45" s="656"/>
      <c r="JTX45" s="657"/>
      <c r="JTY45" s="656"/>
      <c r="JTZ45" s="658"/>
      <c r="JUA45" s="656"/>
      <c r="JUB45" s="658"/>
      <c r="JUE45" s="288"/>
      <c r="JUF45" s="312"/>
      <c r="JUG45" s="482"/>
      <c r="JUH45" s="312"/>
      <c r="JUI45" s="656"/>
      <c r="JUJ45" s="657"/>
      <c r="JUK45" s="656"/>
      <c r="JUL45" s="657"/>
      <c r="JUM45" s="656"/>
      <c r="JUN45" s="658"/>
      <c r="JUO45" s="656"/>
      <c r="JUP45" s="658"/>
      <c r="JUS45" s="288"/>
      <c r="JUT45" s="312"/>
      <c r="JUU45" s="482"/>
      <c r="JUV45" s="312"/>
      <c r="JUW45" s="656"/>
      <c r="JUX45" s="657"/>
      <c r="JUY45" s="656"/>
      <c r="JUZ45" s="657"/>
      <c r="JVA45" s="656"/>
      <c r="JVB45" s="658"/>
      <c r="JVC45" s="656"/>
      <c r="JVD45" s="658"/>
      <c r="JVG45" s="288"/>
      <c r="JVH45" s="312"/>
      <c r="JVI45" s="482"/>
      <c r="JVJ45" s="312"/>
      <c r="JVK45" s="656"/>
      <c r="JVL45" s="657"/>
      <c r="JVM45" s="656"/>
      <c r="JVN45" s="657"/>
      <c r="JVO45" s="656"/>
      <c r="JVP45" s="658"/>
      <c r="JVQ45" s="656"/>
      <c r="JVR45" s="658"/>
      <c r="JVU45" s="288"/>
      <c r="JVV45" s="312"/>
      <c r="JVW45" s="482"/>
      <c r="JVX45" s="312"/>
      <c r="JVY45" s="656"/>
      <c r="JVZ45" s="657"/>
      <c r="JWA45" s="656"/>
      <c r="JWB45" s="657"/>
      <c r="JWC45" s="656"/>
      <c r="JWD45" s="658"/>
      <c r="JWE45" s="656"/>
      <c r="JWF45" s="658"/>
      <c r="JWI45" s="288"/>
      <c r="JWJ45" s="312"/>
      <c r="JWK45" s="482"/>
      <c r="JWL45" s="312"/>
      <c r="JWM45" s="656"/>
      <c r="JWN45" s="657"/>
      <c r="JWO45" s="656"/>
      <c r="JWP45" s="657"/>
      <c r="JWQ45" s="656"/>
      <c r="JWR45" s="658"/>
      <c r="JWS45" s="656"/>
      <c r="JWT45" s="658"/>
      <c r="JWW45" s="288"/>
      <c r="JWX45" s="312"/>
      <c r="JWY45" s="482"/>
      <c r="JWZ45" s="312"/>
      <c r="JXA45" s="656"/>
      <c r="JXB45" s="657"/>
      <c r="JXC45" s="656"/>
      <c r="JXD45" s="657"/>
      <c r="JXE45" s="656"/>
      <c r="JXF45" s="658"/>
      <c r="JXG45" s="656"/>
      <c r="JXH45" s="658"/>
      <c r="JXK45" s="288"/>
      <c r="JXL45" s="312"/>
      <c r="JXM45" s="482"/>
      <c r="JXN45" s="312"/>
      <c r="JXO45" s="656"/>
      <c r="JXP45" s="657"/>
      <c r="JXQ45" s="656"/>
      <c r="JXR45" s="657"/>
      <c r="JXS45" s="656"/>
      <c r="JXT45" s="658"/>
      <c r="JXU45" s="656"/>
      <c r="JXV45" s="658"/>
      <c r="JXY45" s="288"/>
      <c r="JXZ45" s="312"/>
      <c r="JYA45" s="482"/>
      <c r="JYB45" s="312"/>
      <c r="JYC45" s="656"/>
      <c r="JYD45" s="657"/>
      <c r="JYE45" s="656"/>
      <c r="JYF45" s="657"/>
      <c r="JYG45" s="656"/>
      <c r="JYH45" s="658"/>
      <c r="JYI45" s="656"/>
      <c r="JYJ45" s="658"/>
      <c r="JYM45" s="288"/>
      <c r="JYN45" s="312"/>
      <c r="JYO45" s="482"/>
      <c r="JYP45" s="312"/>
      <c r="JYQ45" s="656"/>
      <c r="JYR45" s="657"/>
      <c r="JYS45" s="656"/>
      <c r="JYT45" s="657"/>
      <c r="JYU45" s="656"/>
      <c r="JYV45" s="658"/>
      <c r="JYW45" s="656"/>
      <c r="JYX45" s="658"/>
      <c r="JZA45" s="288"/>
      <c r="JZB45" s="312"/>
      <c r="JZC45" s="482"/>
      <c r="JZD45" s="312"/>
      <c r="JZE45" s="656"/>
      <c r="JZF45" s="657"/>
      <c r="JZG45" s="656"/>
      <c r="JZH45" s="657"/>
      <c r="JZI45" s="656"/>
      <c r="JZJ45" s="658"/>
      <c r="JZK45" s="656"/>
      <c r="JZL45" s="658"/>
      <c r="JZO45" s="288"/>
      <c r="JZP45" s="312"/>
      <c r="JZQ45" s="482"/>
      <c r="JZR45" s="312"/>
      <c r="JZS45" s="656"/>
      <c r="JZT45" s="657"/>
      <c r="JZU45" s="656"/>
      <c r="JZV45" s="657"/>
      <c r="JZW45" s="656"/>
      <c r="JZX45" s="658"/>
      <c r="JZY45" s="656"/>
      <c r="JZZ45" s="658"/>
      <c r="KAC45" s="288"/>
      <c r="KAD45" s="312"/>
      <c r="KAE45" s="482"/>
      <c r="KAF45" s="312"/>
      <c r="KAG45" s="656"/>
      <c r="KAH45" s="657"/>
      <c r="KAI45" s="656"/>
      <c r="KAJ45" s="657"/>
      <c r="KAK45" s="656"/>
      <c r="KAL45" s="658"/>
      <c r="KAM45" s="656"/>
      <c r="KAN45" s="658"/>
      <c r="KAQ45" s="288"/>
      <c r="KAR45" s="312"/>
      <c r="KAS45" s="482"/>
      <c r="KAT45" s="312"/>
      <c r="KAU45" s="656"/>
      <c r="KAV45" s="657"/>
      <c r="KAW45" s="656"/>
      <c r="KAX45" s="657"/>
      <c r="KAY45" s="656"/>
      <c r="KAZ45" s="658"/>
      <c r="KBA45" s="656"/>
      <c r="KBB45" s="658"/>
      <c r="KBE45" s="288"/>
      <c r="KBF45" s="312"/>
      <c r="KBG45" s="482"/>
      <c r="KBH45" s="312"/>
      <c r="KBI45" s="656"/>
      <c r="KBJ45" s="657"/>
      <c r="KBK45" s="656"/>
      <c r="KBL45" s="657"/>
      <c r="KBM45" s="656"/>
      <c r="KBN45" s="658"/>
      <c r="KBO45" s="656"/>
      <c r="KBP45" s="658"/>
      <c r="KBS45" s="288"/>
      <c r="KBT45" s="312"/>
      <c r="KBU45" s="482"/>
      <c r="KBV45" s="312"/>
      <c r="KBW45" s="656"/>
      <c r="KBX45" s="657"/>
      <c r="KBY45" s="656"/>
      <c r="KBZ45" s="657"/>
      <c r="KCA45" s="656"/>
      <c r="KCB45" s="658"/>
      <c r="KCC45" s="656"/>
      <c r="KCD45" s="658"/>
      <c r="KCG45" s="288"/>
      <c r="KCH45" s="312"/>
      <c r="KCI45" s="482"/>
      <c r="KCJ45" s="312"/>
      <c r="KCK45" s="656"/>
      <c r="KCL45" s="657"/>
      <c r="KCM45" s="656"/>
      <c r="KCN45" s="657"/>
      <c r="KCO45" s="656"/>
      <c r="KCP45" s="658"/>
      <c r="KCQ45" s="656"/>
      <c r="KCR45" s="658"/>
      <c r="KCU45" s="288"/>
      <c r="KCV45" s="312"/>
      <c r="KCW45" s="482"/>
      <c r="KCX45" s="312"/>
      <c r="KCY45" s="656"/>
      <c r="KCZ45" s="657"/>
      <c r="KDA45" s="656"/>
      <c r="KDB45" s="657"/>
      <c r="KDC45" s="656"/>
      <c r="KDD45" s="658"/>
      <c r="KDE45" s="656"/>
      <c r="KDF45" s="658"/>
      <c r="KDI45" s="288"/>
      <c r="KDJ45" s="312"/>
      <c r="KDK45" s="482"/>
      <c r="KDL45" s="312"/>
      <c r="KDM45" s="656"/>
      <c r="KDN45" s="657"/>
      <c r="KDO45" s="656"/>
      <c r="KDP45" s="657"/>
      <c r="KDQ45" s="656"/>
      <c r="KDR45" s="658"/>
      <c r="KDS45" s="656"/>
      <c r="KDT45" s="658"/>
      <c r="KDW45" s="288"/>
      <c r="KDX45" s="312"/>
      <c r="KDY45" s="482"/>
      <c r="KDZ45" s="312"/>
      <c r="KEA45" s="656"/>
      <c r="KEB45" s="657"/>
      <c r="KEC45" s="656"/>
      <c r="KED45" s="657"/>
      <c r="KEE45" s="656"/>
      <c r="KEF45" s="658"/>
      <c r="KEG45" s="656"/>
      <c r="KEH45" s="658"/>
      <c r="KEK45" s="288"/>
      <c r="KEL45" s="312"/>
      <c r="KEM45" s="482"/>
      <c r="KEN45" s="312"/>
      <c r="KEO45" s="656"/>
      <c r="KEP45" s="657"/>
      <c r="KEQ45" s="656"/>
      <c r="KER45" s="657"/>
      <c r="KES45" s="656"/>
      <c r="KET45" s="658"/>
      <c r="KEU45" s="656"/>
      <c r="KEV45" s="658"/>
      <c r="KEY45" s="288"/>
      <c r="KEZ45" s="312"/>
      <c r="KFA45" s="482"/>
      <c r="KFB45" s="312"/>
      <c r="KFC45" s="656"/>
      <c r="KFD45" s="657"/>
      <c r="KFE45" s="656"/>
      <c r="KFF45" s="657"/>
      <c r="KFG45" s="656"/>
      <c r="KFH45" s="658"/>
      <c r="KFI45" s="656"/>
      <c r="KFJ45" s="658"/>
      <c r="KFM45" s="288"/>
      <c r="KFN45" s="312"/>
      <c r="KFO45" s="482"/>
      <c r="KFP45" s="312"/>
      <c r="KFQ45" s="656"/>
      <c r="KFR45" s="657"/>
      <c r="KFS45" s="656"/>
      <c r="KFT45" s="657"/>
      <c r="KFU45" s="656"/>
      <c r="KFV45" s="658"/>
      <c r="KFW45" s="656"/>
      <c r="KFX45" s="658"/>
      <c r="KGA45" s="288"/>
      <c r="KGB45" s="312"/>
      <c r="KGC45" s="482"/>
      <c r="KGD45" s="312"/>
      <c r="KGE45" s="656"/>
      <c r="KGF45" s="657"/>
      <c r="KGG45" s="656"/>
      <c r="KGH45" s="657"/>
      <c r="KGI45" s="656"/>
      <c r="KGJ45" s="658"/>
      <c r="KGK45" s="656"/>
      <c r="KGL45" s="658"/>
      <c r="KGO45" s="288"/>
      <c r="KGP45" s="312"/>
      <c r="KGQ45" s="482"/>
      <c r="KGR45" s="312"/>
      <c r="KGS45" s="656"/>
      <c r="KGT45" s="657"/>
      <c r="KGU45" s="656"/>
      <c r="KGV45" s="657"/>
      <c r="KGW45" s="656"/>
      <c r="KGX45" s="658"/>
      <c r="KGY45" s="656"/>
      <c r="KGZ45" s="658"/>
      <c r="KHC45" s="288"/>
      <c r="KHD45" s="312"/>
      <c r="KHE45" s="482"/>
      <c r="KHF45" s="312"/>
      <c r="KHG45" s="656"/>
      <c r="KHH45" s="657"/>
      <c r="KHI45" s="656"/>
      <c r="KHJ45" s="657"/>
      <c r="KHK45" s="656"/>
      <c r="KHL45" s="658"/>
      <c r="KHM45" s="656"/>
      <c r="KHN45" s="658"/>
      <c r="KHQ45" s="288"/>
      <c r="KHR45" s="312"/>
      <c r="KHS45" s="482"/>
      <c r="KHT45" s="312"/>
      <c r="KHU45" s="656"/>
      <c r="KHV45" s="657"/>
      <c r="KHW45" s="656"/>
      <c r="KHX45" s="657"/>
      <c r="KHY45" s="656"/>
      <c r="KHZ45" s="658"/>
      <c r="KIA45" s="656"/>
      <c r="KIB45" s="658"/>
      <c r="KIE45" s="288"/>
      <c r="KIF45" s="312"/>
      <c r="KIG45" s="482"/>
      <c r="KIH45" s="312"/>
      <c r="KII45" s="656"/>
      <c r="KIJ45" s="657"/>
      <c r="KIK45" s="656"/>
      <c r="KIL45" s="657"/>
      <c r="KIM45" s="656"/>
      <c r="KIN45" s="658"/>
      <c r="KIO45" s="656"/>
      <c r="KIP45" s="658"/>
      <c r="KIS45" s="288"/>
      <c r="KIT45" s="312"/>
      <c r="KIU45" s="482"/>
      <c r="KIV45" s="312"/>
      <c r="KIW45" s="656"/>
      <c r="KIX45" s="657"/>
      <c r="KIY45" s="656"/>
      <c r="KIZ45" s="657"/>
      <c r="KJA45" s="656"/>
      <c r="KJB45" s="658"/>
      <c r="KJC45" s="656"/>
      <c r="KJD45" s="658"/>
      <c r="KJG45" s="288"/>
      <c r="KJH45" s="312"/>
      <c r="KJI45" s="482"/>
      <c r="KJJ45" s="312"/>
      <c r="KJK45" s="656"/>
      <c r="KJL45" s="657"/>
      <c r="KJM45" s="656"/>
      <c r="KJN45" s="657"/>
      <c r="KJO45" s="656"/>
      <c r="KJP45" s="658"/>
      <c r="KJQ45" s="656"/>
      <c r="KJR45" s="658"/>
      <c r="KJU45" s="288"/>
      <c r="KJV45" s="312"/>
      <c r="KJW45" s="482"/>
      <c r="KJX45" s="312"/>
      <c r="KJY45" s="656"/>
      <c r="KJZ45" s="657"/>
      <c r="KKA45" s="656"/>
      <c r="KKB45" s="657"/>
      <c r="KKC45" s="656"/>
      <c r="KKD45" s="658"/>
      <c r="KKE45" s="656"/>
      <c r="KKF45" s="658"/>
      <c r="KKI45" s="288"/>
      <c r="KKJ45" s="312"/>
      <c r="KKK45" s="482"/>
      <c r="KKL45" s="312"/>
      <c r="KKM45" s="656"/>
      <c r="KKN45" s="657"/>
      <c r="KKO45" s="656"/>
      <c r="KKP45" s="657"/>
      <c r="KKQ45" s="656"/>
      <c r="KKR45" s="658"/>
      <c r="KKS45" s="656"/>
      <c r="KKT45" s="658"/>
      <c r="KKW45" s="288"/>
      <c r="KKX45" s="312"/>
      <c r="KKY45" s="482"/>
      <c r="KKZ45" s="312"/>
      <c r="KLA45" s="656"/>
      <c r="KLB45" s="657"/>
      <c r="KLC45" s="656"/>
      <c r="KLD45" s="657"/>
      <c r="KLE45" s="656"/>
      <c r="KLF45" s="658"/>
      <c r="KLG45" s="656"/>
      <c r="KLH45" s="658"/>
      <c r="KLK45" s="288"/>
      <c r="KLL45" s="312"/>
      <c r="KLM45" s="482"/>
      <c r="KLN45" s="312"/>
      <c r="KLO45" s="656"/>
      <c r="KLP45" s="657"/>
      <c r="KLQ45" s="656"/>
      <c r="KLR45" s="657"/>
      <c r="KLS45" s="656"/>
      <c r="KLT45" s="658"/>
      <c r="KLU45" s="656"/>
      <c r="KLV45" s="658"/>
      <c r="KLY45" s="288"/>
      <c r="KLZ45" s="312"/>
      <c r="KMA45" s="482"/>
      <c r="KMB45" s="312"/>
      <c r="KMC45" s="656"/>
      <c r="KMD45" s="657"/>
      <c r="KME45" s="656"/>
      <c r="KMF45" s="657"/>
      <c r="KMG45" s="656"/>
      <c r="KMH45" s="658"/>
      <c r="KMI45" s="656"/>
      <c r="KMJ45" s="658"/>
      <c r="KMM45" s="288"/>
      <c r="KMN45" s="312"/>
      <c r="KMO45" s="482"/>
      <c r="KMP45" s="312"/>
      <c r="KMQ45" s="656"/>
      <c r="KMR45" s="657"/>
      <c r="KMS45" s="656"/>
      <c r="KMT45" s="657"/>
      <c r="KMU45" s="656"/>
      <c r="KMV45" s="658"/>
      <c r="KMW45" s="656"/>
      <c r="KMX45" s="658"/>
      <c r="KNA45" s="288"/>
      <c r="KNB45" s="312"/>
      <c r="KNC45" s="482"/>
      <c r="KND45" s="312"/>
      <c r="KNE45" s="656"/>
      <c r="KNF45" s="657"/>
      <c r="KNG45" s="656"/>
      <c r="KNH45" s="657"/>
      <c r="KNI45" s="656"/>
      <c r="KNJ45" s="658"/>
      <c r="KNK45" s="656"/>
      <c r="KNL45" s="658"/>
      <c r="KNO45" s="288"/>
      <c r="KNP45" s="312"/>
      <c r="KNQ45" s="482"/>
      <c r="KNR45" s="312"/>
      <c r="KNS45" s="656"/>
      <c r="KNT45" s="657"/>
      <c r="KNU45" s="656"/>
      <c r="KNV45" s="657"/>
      <c r="KNW45" s="656"/>
      <c r="KNX45" s="658"/>
      <c r="KNY45" s="656"/>
      <c r="KNZ45" s="658"/>
      <c r="KOC45" s="288"/>
      <c r="KOD45" s="312"/>
      <c r="KOE45" s="482"/>
      <c r="KOF45" s="312"/>
      <c r="KOG45" s="656"/>
      <c r="KOH45" s="657"/>
      <c r="KOI45" s="656"/>
      <c r="KOJ45" s="657"/>
      <c r="KOK45" s="656"/>
      <c r="KOL45" s="658"/>
      <c r="KOM45" s="656"/>
      <c r="KON45" s="658"/>
      <c r="KOQ45" s="288"/>
      <c r="KOR45" s="312"/>
      <c r="KOS45" s="482"/>
      <c r="KOT45" s="312"/>
      <c r="KOU45" s="656"/>
      <c r="KOV45" s="657"/>
      <c r="KOW45" s="656"/>
      <c r="KOX45" s="657"/>
      <c r="KOY45" s="656"/>
      <c r="KOZ45" s="658"/>
      <c r="KPA45" s="656"/>
      <c r="KPB45" s="658"/>
      <c r="KPE45" s="288"/>
      <c r="KPF45" s="312"/>
      <c r="KPG45" s="482"/>
      <c r="KPH45" s="312"/>
      <c r="KPI45" s="656"/>
      <c r="KPJ45" s="657"/>
      <c r="KPK45" s="656"/>
      <c r="KPL45" s="657"/>
      <c r="KPM45" s="656"/>
      <c r="KPN45" s="658"/>
      <c r="KPO45" s="656"/>
      <c r="KPP45" s="658"/>
      <c r="KPS45" s="288"/>
      <c r="KPT45" s="312"/>
      <c r="KPU45" s="482"/>
      <c r="KPV45" s="312"/>
      <c r="KPW45" s="656"/>
      <c r="KPX45" s="657"/>
      <c r="KPY45" s="656"/>
      <c r="KPZ45" s="657"/>
      <c r="KQA45" s="656"/>
      <c r="KQB45" s="658"/>
      <c r="KQC45" s="656"/>
      <c r="KQD45" s="658"/>
      <c r="KQG45" s="288"/>
      <c r="KQH45" s="312"/>
      <c r="KQI45" s="482"/>
      <c r="KQJ45" s="312"/>
      <c r="KQK45" s="656"/>
      <c r="KQL45" s="657"/>
      <c r="KQM45" s="656"/>
      <c r="KQN45" s="657"/>
      <c r="KQO45" s="656"/>
      <c r="KQP45" s="658"/>
      <c r="KQQ45" s="656"/>
      <c r="KQR45" s="658"/>
      <c r="KQU45" s="288"/>
      <c r="KQV45" s="312"/>
      <c r="KQW45" s="482"/>
      <c r="KQX45" s="312"/>
      <c r="KQY45" s="656"/>
      <c r="KQZ45" s="657"/>
      <c r="KRA45" s="656"/>
      <c r="KRB45" s="657"/>
      <c r="KRC45" s="656"/>
      <c r="KRD45" s="658"/>
      <c r="KRE45" s="656"/>
      <c r="KRF45" s="658"/>
      <c r="KRI45" s="288"/>
      <c r="KRJ45" s="312"/>
      <c r="KRK45" s="482"/>
      <c r="KRL45" s="312"/>
      <c r="KRM45" s="656"/>
      <c r="KRN45" s="657"/>
      <c r="KRO45" s="656"/>
      <c r="KRP45" s="657"/>
      <c r="KRQ45" s="656"/>
      <c r="KRR45" s="658"/>
      <c r="KRS45" s="656"/>
      <c r="KRT45" s="658"/>
      <c r="KRW45" s="288"/>
      <c r="KRX45" s="312"/>
      <c r="KRY45" s="482"/>
      <c r="KRZ45" s="312"/>
      <c r="KSA45" s="656"/>
      <c r="KSB45" s="657"/>
      <c r="KSC45" s="656"/>
      <c r="KSD45" s="657"/>
      <c r="KSE45" s="656"/>
      <c r="KSF45" s="658"/>
      <c r="KSG45" s="656"/>
      <c r="KSH45" s="658"/>
      <c r="KSK45" s="288"/>
      <c r="KSL45" s="312"/>
      <c r="KSM45" s="482"/>
      <c r="KSN45" s="312"/>
      <c r="KSO45" s="656"/>
      <c r="KSP45" s="657"/>
      <c r="KSQ45" s="656"/>
      <c r="KSR45" s="657"/>
      <c r="KSS45" s="656"/>
      <c r="KST45" s="658"/>
      <c r="KSU45" s="656"/>
      <c r="KSV45" s="658"/>
      <c r="KSY45" s="288"/>
      <c r="KSZ45" s="312"/>
      <c r="KTA45" s="482"/>
      <c r="KTB45" s="312"/>
      <c r="KTC45" s="656"/>
      <c r="KTD45" s="657"/>
      <c r="KTE45" s="656"/>
      <c r="KTF45" s="657"/>
      <c r="KTG45" s="656"/>
      <c r="KTH45" s="658"/>
      <c r="KTI45" s="656"/>
      <c r="KTJ45" s="658"/>
      <c r="KTM45" s="288"/>
      <c r="KTN45" s="312"/>
      <c r="KTO45" s="482"/>
      <c r="KTP45" s="312"/>
      <c r="KTQ45" s="656"/>
      <c r="KTR45" s="657"/>
      <c r="KTS45" s="656"/>
      <c r="KTT45" s="657"/>
      <c r="KTU45" s="656"/>
      <c r="KTV45" s="658"/>
      <c r="KTW45" s="656"/>
      <c r="KTX45" s="658"/>
      <c r="KUA45" s="288"/>
      <c r="KUB45" s="312"/>
      <c r="KUC45" s="482"/>
      <c r="KUD45" s="312"/>
      <c r="KUE45" s="656"/>
      <c r="KUF45" s="657"/>
      <c r="KUG45" s="656"/>
      <c r="KUH45" s="657"/>
      <c r="KUI45" s="656"/>
      <c r="KUJ45" s="658"/>
      <c r="KUK45" s="656"/>
      <c r="KUL45" s="658"/>
      <c r="KUO45" s="288"/>
      <c r="KUP45" s="312"/>
      <c r="KUQ45" s="482"/>
      <c r="KUR45" s="312"/>
      <c r="KUS45" s="656"/>
      <c r="KUT45" s="657"/>
      <c r="KUU45" s="656"/>
      <c r="KUV45" s="657"/>
      <c r="KUW45" s="656"/>
      <c r="KUX45" s="658"/>
      <c r="KUY45" s="656"/>
      <c r="KUZ45" s="658"/>
      <c r="KVC45" s="288"/>
      <c r="KVD45" s="312"/>
      <c r="KVE45" s="482"/>
      <c r="KVF45" s="312"/>
      <c r="KVG45" s="656"/>
      <c r="KVH45" s="657"/>
      <c r="KVI45" s="656"/>
      <c r="KVJ45" s="657"/>
      <c r="KVK45" s="656"/>
      <c r="KVL45" s="658"/>
      <c r="KVM45" s="656"/>
      <c r="KVN45" s="658"/>
      <c r="KVQ45" s="288"/>
      <c r="KVR45" s="312"/>
      <c r="KVS45" s="482"/>
      <c r="KVT45" s="312"/>
      <c r="KVU45" s="656"/>
      <c r="KVV45" s="657"/>
      <c r="KVW45" s="656"/>
      <c r="KVX45" s="657"/>
      <c r="KVY45" s="656"/>
      <c r="KVZ45" s="658"/>
      <c r="KWA45" s="656"/>
      <c r="KWB45" s="658"/>
      <c r="KWE45" s="288"/>
      <c r="KWF45" s="312"/>
      <c r="KWG45" s="482"/>
      <c r="KWH45" s="312"/>
      <c r="KWI45" s="656"/>
      <c r="KWJ45" s="657"/>
      <c r="KWK45" s="656"/>
      <c r="KWL45" s="657"/>
      <c r="KWM45" s="656"/>
      <c r="KWN45" s="658"/>
      <c r="KWO45" s="656"/>
      <c r="KWP45" s="658"/>
      <c r="KWS45" s="288"/>
      <c r="KWT45" s="312"/>
      <c r="KWU45" s="482"/>
      <c r="KWV45" s="312"/>
      <c r="KWW45" s="656"/>
      <c r="KWX45" s="657"/>
      <c r="KWY45" s="656"/>
      <c r="KWZ45" s="657"/>
      <c r="KXA45" s="656"/>
      <c r="KXB45" s="658"/>
      <c r="KXC45" s="656"/>
      <c r="KXD45" s="658"/>
      <c r="KXG45" s="288"/>
      <c r="KXH45" s="312"/>
      <c r="KXI45" s="482"/>
      <c r="KXJ45" s="312"/>
      <c r="KXK45" s="656"/>
      <c r="KXL45" s="657"/>
      <c r="KXM45" s="656"/>
      <c r="KXN45" s="657"/>
      <c r="KXO45" s="656"/>
      <c r="KXP45" s="658"/>
      <c r="KXQ45" s="656"/>
      <c r="KXR45" s="658"/>
      <c r="KXU45" s="288"/>
      <c r="KXV45" s="312"/>
      <c r="KXW45" s="482"/>
      <c r="KXX45" s="312"/>
      <c r="KXY45" s="656"/>
      <c r="KXZ45" s="657"/>
      <c r="KYA45" s="656"/>
      <c r="KYB45" s="657"/>
      <c r="KYC45" s="656"/>
      <c r="KYD45" s="658"/>
      <c r="KYE45" s="656"/>
      <c r="KYF45" s="658"/>
      <c r="KYI45" s="288"/>
      <c r="KYJ45" s="312"/>
      <c r="KYK45" s="482"/>
      <c r="KYL45" s="312"/>
      <c r="KYM45" s="656"/>
      <c r="KYN45" s="657"/>
      <c r="KYO45" s="656"/>
      <c r="KYP45" s="657"/>
      <c r="KYQ45" s="656"/>
      <c r="KYR45" s="658"/>
      <c r="KYS45" s="656"/>
      <c r="KYT45" s="658"/>
      <c r="KYW45" s="288"/>
      <c r="KYX45" s="312"/>
      <c r="KYY45" s="482"/>
      <c r="KYZ45" s="312"/>
      <c r="KZA45" s="656"/>
      <c r="KZB45" s="657"/>
      <c r="KZC45" s="656"/>
      <c r="KZD45" s="657"/>
      <c r="KZE45" s="656"/>
      <c r="KZF45" s="658"/>
      <c r="KZG45" s="656"/>
      <c r="KZH45" s="658"/>
      <c r="KZK45" s="288"/>
      <c r="KZL45" s="312"/>
      <c r="KZM45" s="482"/>
      <c r="KZN45" s="312"/>
      <c r="KZO45" s="656"/>
      <c r="KZP45" s="657"/>
      <c r="KZQ45" s="656"/>
      <c r="KZR45" s="657"/>
      <c r="KZS45" s="656"/>
      <c r="KZT45" s="658"/>
      <c r="KZU45" s="656"/>
      <c r="KZV45" s="658"/>
      <c r="KZY45" s="288"/>
      <c r="KZZ45" s="312"/>
      <c r="LAA45" s="482"/>
      <c r="LAB45" s="312"/>
      <c r="LAC45" s="656"/>
      <c r="LAD45" s="657"/>
      <c r="LAE45" s="656"/>
      <c r="LAF45" s="657"/>
      <c r="LAG45" s="656"/>
      <c r="LAH45" s="658"/>
      <c r="LAI45" s="656"/>
      <c r="LAJ45" s="658"/>
      <c r="LAM45" s="288"/>
      <c r="LAN45" s="312"/>
      <c r="LAO45" s="482"/>
      <c r="LAP45" s="312"/>
      <c r="LAQ45" s="656"/>
      <c r="LAR45" s="657"/>
      <c r="LAS45" s="656"/>
      <c r="LAT45" s="657"/>
      <c r="LAU45" s="656"/>
      <c r="LAV45" s="658"/>
      <c r="LAW45" s="656"/>
      <c r="LAX45" s="658"/>
      <c r="LBA45" s="288"/>
      <c r="LBB45" s="312"/>
      <c r="LBC45" s="482"/>
      <c r="LBD45" s="312"/>
      <c r="LBE45" s="656"/>
      <c r="LBF45" s="657"/>
      <c r="LBG45" s="656"/>
      <c r="LBH45" s="657"/>
      <c r="LBI45" s="656"/>
      <c r="LBJ45" s="658"/>
      <c r="LBK45" s="656"/>
      <c r="LBL45" s="658"/>
      <c r="LBO45" s="288"/>
      <c r="LBP45" s="312"/>
      <c r="LBQ45" s="482"/>
      <c r="LBR45" s="312"/>
      <c r="LBS45" s="656"/>
      <c r="LBT45" s="657"/>
      <c r="LBU45" s="656"/>
      <c r="LBV45" s="657"/>
      <c r="LBW45" s="656"/>
      <c r="LBX45" s="658"/>
      <c r="LBY45" s="656"/>
      <c r="LBZ45" s="658"/>
      <c r="LCC45" s="288"/>
      <c r="LCD45" s="312"/>
      <c r="LCE45" s="482"/>
      <c r="LCF45" s="312"/>
      <c r="LCG45" s="656"/>
      <c r="LCH45" s="657"/>
      <c r="LCI45" s="656"/>
      <c r="LCJ45" s="657"/>
      <c r="LCK45" s="656"/>
      <c r="LCL45" s="658"/>
      <c r="LCM45" s="656"/>
      <c r="LCN45" s="658"/>
      <c r="LCQ45" s="288"/>
      <c r="LCR45" s="312"/>
      <c r="LCS45" s="482"/>
      <c r="LCT45" s="312"/>
      <c r="LCU45" s="656"/>
      <c r="LCV45" s="657"/>
      <c r="LCW45" s="656"/>
      <c r="LCX45" s="657"/>
      <c r="LCY45" s="656"/>
      <c r="LCZ45" s="658"/>
      <c r="LDA45" s="656"/>
      <c r="LDB45" s="658"/>
      <c r="LDE45" s="288"/>
      <c r="LDF45" s="312"/>
      <c r="LDG45" s="482"/>
      <c r="LDH45" s="312"/>
      <c r="LDI45" s="656"/>
      <c r="LDJ45" s="657"/>
      <c r="LDK45" s="656"/>
      <c r="LDL45" s="657"/>
      <c r="LDM45" s="656"/>
      <c r="LDN45" s="658"/>
      <c r="LDO45" s="656"/>
      <c r="LDP45" s="658"/>
      <c r="LDS45" s="288"/>
      <c r="LDT45" s="312"/>
      <c r="LDU45" s="482"/>
      <c r="LDV45" s="312"/>
      <c r="LDW45" s="656"/>
      <c r="LDX45" s="657"/>
      <c r="LDY45" s="656"/>
      <c r="LDZ45" s="657"/>
      <c r="LEA45" s="656"/>
      <c r="LEB45" s="658"/>
      <c r="LEC45" s="656"/>
      <c r="LED45" s="658"/>
      <c r="LEG45" s="288"/>
      <c r="LEH45" s="312"/>
      <c r="LEI45" s="482"/>
      <c r="LEJ45" s="312"/>
      <c r="LEK45" s="656"/>
      <c r="LEL45" s="657"/>
      <c r="LEM45" s="656"/>
      <c r="LEN45" s="657"/>
      <c r="LEO45" s="656"/>
      <c r="LEP45" s="658"/>
      <c r="LEQ45" s="656"/>
      <c r="LER45" s="658"/>
      <c r="LEU45" s="288"/>
      <c r="LEV45" s="312"/>
      <c r="LEW45" s="482"/>
      <c r="LEX45" s="312"/>
      <c r="LEY45" s="656"/>
      <c r="LEZ45" s="657"/>
      <c r="LFA45" s="656"/>
      <c r="LFB45" s="657"/>
      <c r="LFC45" s="656"/>
      <c r="LFD45" s="658"/>
      <c r="LFE45" s="656"/>
      <c r="LFF45" s="658"/>
      <c r="LFI45" s="288"/>
      <c r="LFJ45" s="312"/>
      <c r="LFK45" s="482"/>
      <c r="LFL45" s="312"/>
      <c r="LFM45" s="656"/>
      <c r="LFN45" s="657"/>
      <c r="LFO45" s="656"/>
      <c r="LFP45" s="657"/>
      <c r="LFQ45" s="656"/>
      <c r="LFR45" s="658"/>
      <c r="LFS45" s="656"/>
      <c r="LFT45" s="658"/>
      <c r="LFW45" s="288"/>
      <c r="LFX45" s="312"/>
      <c r="LFY45" s="482"/>
      <c r="LFZ45" s="312"/>
      <c r="LGA45" s="656"/>
      <c r="LGB45" s="657"/>
      <c r="LGC45" s="656"/>
      <c r="LGD45" s="657"/>
      <c r="LGE45" s="656"/>
      <c r="LGF45" s="658"/>
      <c r="LGG45" s="656"/>
      <c r="LGH45" s="658"/>
      <c r="LGK45" s="288"/>
      <c r="LGL45" s="312"/>
      <c r="LGM45" s="482"/>
      <c r="LGN45" s="312"/>
      <c r="LGO45" s="656"/>
      <c r="LGP45" s="657"/>
      <c r="LGQ45" s="656"/>
      <c r="LGR45" s="657"/>
      <c r="LGS45" s="656"/>
      <c r="LGT45" s="658"/>
      <c r="LGU45" s="656"/>
      <c r="LGV45" s="658"/>
      <c r="LGY45" s="288"/>
      <c r="LGZ45" s="312"/>
      <c r="LHA45" s="482"/>
      <c r="LHB45" s="312"/>
      <c r="LHC45" s="656"/>
      <c r="LHD45" s="657"/>
      <c r="LHE45" s="656"/>
      <c r="LHF45" s="657"/>
      <c r="LHG45" s="656"/>
      <c r="LHH45" s="658"/>
      <c r="LHI45" s="656"/>
      <c r="LHJ45" s="658"/>
      <c r="LHM45" s="288"/>
      <c r="LHN45" s="312"/>
      <c r="LHO45" s="482"/>
      <c r="LHP45" s="312"/>
      <c r="LHQ45" s="656"/>
      <c r="LHR45" s="657"/>
      <c r="LHS45" s="656"/>
      <c r="LHT45" s="657"/>
      <c r="LHU45" s="656"/>
      <c r="LHV45" s="658"/>
      <c r="LHW45" s="656"/>
      <c r="LHX45" s="658"/>
      <c r="LIA45" s="288"/>
      <c r="LIB45" s="312"/>
      <c r="LIC45" s="482"/>
      <c r="LID45" s="312"/>
      <c r="LIE45" s="656"/>
      <c r="LIF45" s="657"/>
      <c r="LIG45" s="656"/>
      <c r="LIH45" s="657"/>
      <c r="LII45" s="656"/>
      <c r="LIJ45" s="658"/>
      <c r="LIK45" s="656"/>
      <c r="LIL45" s="658"/>
      <c r="LIO45" s="288"/>
      <c r="LIP45" s="312"/>
      <c r="LIQ45" s="482"/>
      <c r="LIR45" s="312"/>
      <c r="LIS45" s="656"/>
      <c r="LIT45" s="657"/>
      <c r="LIU45" s="656"/>
      <c r="LIV45" s="657"/>
      <c r="LIW45" s="656"/>
      <c r="LIX45" s="658"/>
      <c r="LIY45" s="656"/>
      <c r="LIZ45" s="658"/>
      <c r="LJC45" s="288"/>
      <c r="LJD45" s="312"/>
      <c r="LJE45" s="482"/>
      <c r="LJF45" s="312"/>
      <c r="LJG45" s="656"/>
      <c r="LJH45" s="657"/>
      <c r="LJI45" s="656"/>
      <c r="LJJ45" s="657"/>
      <c r="LJK45" s="656"/>
      <c r="LJL45" s="658"/>
      <c r="LJM45" s="656"/>
      <c r="LJN45" s="658"/>
      <c r="LJQ45" s="288"/>
      <c r="LJR45" s="312"/>
      <c r="LJS45" s="482"/>
      <c r="LJT45" s="312"/>
      <c r="LJU45" s="656"/>
      <c r="LJV45" s="657"/>
      <c r="LJW45" s="656"/>
      <c r="LJX45" s="657"/>
      <c r="LJY45" s="656"/>
      <c r="LJZ45" s="658"/>
      <c r="LKA45" s="656"/>
      <c r="LKB45" s="658"/>
      <c r="LKE45" s="288"/>
      <c r="LKF45" s="312"/>
      <c r="LKG45" s="482"/>
      <c r="LKH45" s="312"/>
      <c r="LKI45" s="656"/>
      <c r="LKJ45" s="657"/>
      <c r="LKK45" s="656"/>
      <c r="LKL45" s="657"/>
      <c r="LKM45" s="656"/>
      <c r="LKN45" s="658"/>
      <c r="LKO45" s="656"/>
      <c r="LKP45" s="658"/>
      <c r="LKS45" s="288"/>
      <c r="LKT45" s="312"/>
      <c r="LKU45" s="482"/>
      <c r="LKV45" s="312"/>
      <c r="LKW45" s="656"/>
      <c r="LKX45" s="657"/>
      <c r="LKY45" s="656"/>
      <c r="LKZ45" s="657"/>
      <c r="LLA45" s="656"/>
      <c r="LLB45" s="658"/>
      <c r="LLC45" s="656"/>
      <c r="LLD45" s="658"/>
      <c r="LLG45" s="288"/>
      <c r="LLH45" s="312"/>
      <c r="LLI45" s="482"/>
      <c r="LLJ45" s="312"/>
      <c r="LLK45" s="656"/>
      <c r="LLL45" s="657"/>
      <c r="LLM45" s="656"/>
      <c r="LLN45" s="657"/>
      <c r="LLO45" s="656"/>
      <c r="LLP45" s="658"/>
      <c r="LLQ45" s="656"/>
      <c r="LLR45" s="658"/>
      <c r="LLU45" s="288"/>
      <c r="LLV45" s="312"/>
      <c r="LLW45" s="482"/>
      <c r="LLX45" s="312"/>
      <c r="LLY45" s="656"/>
      <c r="LLZ45" s="657"/>
      <c r="LMA45" s="656"/>
      <c r="LMB45" s="657"/>
      <c r="LMC45" s="656"/>
      <c r="LMD45" s="658"/>
      <c r="LME45" s="656"/>
      <c r="LMF45" s="658"/>
      <c r="LMI45" s="288"/>
      <c r="LMJ45" s="312"/>
      <c r="LMK45" s="482"/>
      <c r="LML45" s="312"/>
      <c r="LMM45" s="656"/>
      <c r="LMN45" s="657"/>
      <c r="LMO45" s="656"/>
      <c r="LMP45" s="657"/>
      <c r="LMQ45" s="656"/>
      <c r="LMR45" s="658"/>
      <c r="LMS45" s="656"/>
      <c r="LMT45" s="658"/>
      <c r="LMW45" s="288"/>
      <c r="LMX45" s="312"/>
      <c r="LMY45" s="482"/>
      <c r="LMZ45" s="312"/>
      <c r="LNA45" s="656"/>
      <c r="LNB45" s="657"/>
      <c r="LNC45" s="656"/>
      <c r="LND45" s="657"/>
      <c r="LNE45" s="656"/>
      <c r="LNF45" s="658"/>
      <c r="LNG45" s="656"/>
      <c r="LNH45" s="658"/>
      <c r="LNK45" s="288"/>
      <c r="LNL45" s="312"/>
      <c r="LNM45" s="482"/>
      <c r="LNN45" s="312"/>
      <c r="LNO45" s="656"/>
      <c r="LNP45" s="657"/>
      <c r="LNQ45" s="656"/>
      <c r="LNR45" s="657"/>
      <c r="LNS45" s="656"/>
      <c r="LNT45" s="658"/>
      <c r="LNU45" s="656"/>
      <c r="LNV45" s="658"/>
      <c r="LNY45" s="288"/>
      <c r="LNZ45" s="312"/>
      <c r="LOA45" s="482"/>
      <c r="LOB45" s="312"/>
      <c r="LOC45" s="656"/>
      <c r="LOD45" s="657"/>
      <c r="LOE45" s="656"/>
      <c r="LOF45" s="657"/>
      <c r="LOG45" s="656"/>
      <c r="LOH45" s="658"/>
      <c r="LOI45" s="656"/>
      <c r="LOJ45" s="658"/>
      <c r="LOM45" s="288"/>
      <c r="LON45" s="312"/>
      <c r="LOO45" s="482"/>
      <c r="LOP45" s="312"/>
      <c r="LOQ45" s="656"/>
      <c r="LOR45" s="657"/>
      <c r="LOS45" s="656"/>
      <c r="LOT45" s="657"/>
      <c r="LOU45" s="656"/>
      <c r="LOV45" s="658"/>
      <c r="LOW45" s="656"/>
      <c r="LOX45" s="658"/>
      <c r="LPA45" s="288"/>
      <c r="LPB45" s="312"/>
      <c r="LPC45" s="482"/>
      <c r="LPD45" s="312"/>
      <c r="LPE45" s="656"/>
      <c r="LPF45" s="657"/>
      <c r="LPG45" s="656"/>
      <c r="LPH45" s="657"/>
      <c r="LPI45" s="656"/>
      <c r="LPJ45" s="658"/>
      <c r="LPK45" s="656"/>
      <c r="LPL45" s="658"/>
      <c r="LPO45" s="288"/>
      <c r="LPP45" s="312"/>
      <c r="LPQ45" s="482"/>
      <c r="LPR45" s="312"/>
      <c r="LPS45" s="656"/>
      <c r="LPT45" s="657"/>
      <c r="LPU45" s="656"/>
      <c r="LPV45" s="657"/>
      <c r="LPW45" s="656"/>
      <c r="LPX45" s="658"/>
      <c r="LPY45" s="656"/>
      <c r="LPZ45" s="658"/>
      <c r="LQC45" s="288"/>
      <c r="LQD45" s="312"/>
      <c r="LQE45" s="482"/>
      <c r="LQF45" s="312"/>
      <c r="LQG45" s="656"/>
      <c r="LQH45" s="657"/>
      <c r="LQI45" s="656"/>
      <c r="LQJ45" s="657"/>
      <c r="LQK45" s="656"/>
      <c r="LQL45" s="658"/>
      <c r="LQM45" s="656"/>
      <c r="LQN45" s="658"/>
      <c r="LQQ45" s="288"/>
      <c r="LQR45" s="312"/>
      <c r="LQS45" s="482"/>
      <c r="LQT45" s="312"/>
      <c r="LQU45" s="656"/>
      <c r="LQV45" s="657"/>
      <c r="LQW45" s="656"/>
      <c r="LQX45" s="657"/>
      <c r="LQY45" s="656"/>
      <c r="LQZ45" s="658"/>
      <c r="LRA45" s="656"/>
      <c r="LRB45" s="658"/>
      <c r="LRE45" s="288"/>
      <c r="LRF45" s="312"/>
      <c r="LRG45" s="482"/>
      <c r="LRH45" s="312"/>
      <c r="LRI45" s="656"/>
      <c r="LRJ45" s="657"/>
      <c r="LRK45" s="656"/>
      <c r="LRL45" s="657"/>
      <c r="LRM45" s="656"/>
      <c r="LRN45" s="658"/>
      <c r="LRO45" s="656"/>
      <c r="LRP45" s="658"/>
      <c r="LRS45" s="288"/>
      <c r="LRT45" s="312"/>
      <c r="LRU45" s="482"/>
      <c r="LRV45" s="312"/>
      <c r="LRW45" s="656"/>
      <c r="LRX45" s="657"/>
      <c r="LRY45" s="656"/>
      <c r="LRZ45" s="657"/>
      <c r="LSA45" s="656"/>
      <c r="LSB45" s="658"/>
      <c r="LSC45" s="656"/>
      <c r="LSD45" s="658"/>
      <c r="LSG45" s="288"/>
      <c r="LSH45" s="312"/>
      <c r="LSI45" s="482"/>
      <c r="LSJ45" s="312"/>
      <c r="LSK45" s="656"/>
      <c r="LSL45" s="657"/>
      <c r="LSM45" s="656"/>
      <c r="LSN45" s="657"/>
      <c r="LSO45" s="656"/>
      <c r="LSP45" s="658"/>
      <c r="LSQ45" s="656"/>
      <c r="LSR45" s="658"/>
      <c r="LSU45" s="288"/>
      <c r="LSV45" s="312"/>
      <c r="LSW45" s="482"/>
      <c r="LSX45" s="312"/>
      <c r="LSY45" s="656"/>
      <c r="LSZ45" s="657"/>
      <c r="LTA45" s="656"/>
      <c r="LTB45" s="657"/>
      <c r="LTC45" s="656"/>
      <c r="LTD45" s="658"/>
      <c r="LTE45" s="656"/>
      <c r="LTF45" s="658"/>
      <c r="LTI45" s="288"/>
      <c r="LTJ45" s="312"/>
      <c r="LTK45" s="482"/>
      <c r="LTL45" s="312"/>
      <c r="LTM45" s="656"/>
      <c r="LTN45" s="657"/>
      <c r="LTO45" s="656"/>
      <c r="LTP45" s="657"/>
      <c r="LTQ45" s="656"/>
      <c r="LTR45" s="658"/>
      <c r="LTS45" s="656"/>
      <c r="LTT45" s="658"/>
      <c r="LTW45" s="288"/>
      <c r="LTX45" s="312"/>
      <c r="LTY45" s="482"/>
      <c r="LTZ45" s="312"/>
      <c r="LUA45" s="656"/>
      <c r="LUB45" s="657"/>
      <c r="LUC45" s="656"/>
      <c r="LUD45" s="657"/>
      <c r="LUE45" s="656"/>
      <c r="LUF45" s="658"/>
      <c r="LUG45" s="656"/>
      <c r="LUH45" s="658"/>
      <c r="LUK45" s="288"/>
      <c r="LUL45" s="312"/>
      <c r="LUM45" s="482"/>
      <c r="LUN45" s="312"/>
      <c r="LUO45" s="656"/>
      <c r="LUP45" s="657"/>
      <c r="LUQ45" s="656"/>
      <c r="LUR45" s="657"/>
      <c r="LUS45" s="656"/>
      <c r="LUT45" s="658"/>
      <c r="LUU45" s="656"/>
      <c r="LUV45" s="658"/>
      <c r="LUY45" s="288"/>
      <c r="LUZ45" s="312"/>
      <c r="LVA45" s="482"/>
      <c r="LVB45" s="312"/>
      <c r="LVC45" s="656"/>
      <c r="LVD45" s="657"/>
      <c r="LVE45" s="656"/>
      <c r="LVF45" s="657"/>
      <c r="LVG45" s="656"/>
      <c r="LVH45" s="658"/>
      <c r="LVI45" s="656"/>
      <c r="LVJ45" s="658"/>
      <c r="LVM45" s="288"/>
      <c r="LVN45" s="312"/>
      <c r="LVO45" s="482"/>
      <c r="LVP45" s="312"/>
      <c r="LVQ45" s="656"/>
      <c r="LVR45" s="657"/>
      <c r="LVS45" s="656"/>
      <c r="LVT45" s="657"/>
      <c r="LVU45" s="656"/>
      <c r="LVV45" s="658"/>
      <c r="LVW45" s="656"/>
      <c r="LVX45" s="658"/>
      <c r="LWA45" s="288"/>
      <c r="LWB45" s="312"/>
      <c r="LWC45" s="482"/>
      <c r="LWD45" s="312"/>
      <c r="LWE45" s="656"/>
      <c r="LWF45" s="657"/>
      <c r="LWG45" s="656"/>
      <c r="LWH45" s="657"/>
      <c r="LWI45" s="656"/>
      <c r="LWJ45" s="658"/>
      <c r="LWK45" s="656"/>
      <c r="LWL45" s="658"/>
      <c r="LWO45" s="288"/>
      <c r="LWP45" s="312"/>
      <c r="LWQ45" s="482"/>
      <c r="LWR45" s="312"/>
      <c r="LWS45" s="656"/>
      <c r="LWT45" s="657"/>
      <c r="LWU45" s="656"/>
      <c r="LWV45" s="657"/>
      <c r="LWW45" s="656"/>
      <c r="LWX45" s="658"/>
      <c r="LWY45" s="656"/>
      <c r="LWZ45" s="658"/>
      <c r="LXC45" s="288"/>
      <c r="LXD45" s="312"/>
      <c r="LXE45" s="482"/>
      <c r="LXF45" s="312"/>
      <c r="LXG45" s="656"/>
      <c r="LXH45" s="657"/>
      <c r="LXI45" s="656"/>
      <c r="LXJ45" s="657"/>
      <c r="LXK45" s="656"/>
      <c r="LXL45" s="658"/>
      <c r="LXM45" s="656"/>
      <c r="LXN45" s="658"/>
      <c r="LXQ45" s="288"/>
      <c r="LXR45" s="312"/>
      <c r="LXS45" s="482"/>
      <c r="LXT45" s="312"/>
      <c r="LXU45" s="656"/>
      <c r="LXV45" s="657"/>
      <c r="LXW45" s="656"/>
      <c r="LXX45" s="657"/>
      <c r="LXY45" s="656"/>
      <c r="LXZ45" s="658"/>
      <c r="LYA45" s="656"/>
      <c r="LYB45" s="658"/>
      <c r="LYE45" s="288"/>
      <c r="LYF45" s="312"/>
      <c r="LYG45" s="482"/>
      <c r="LYH45" s="312"/>
      <c r="LYI45" s="656"/>
      <c r="LYJ45" s="657"/>
      <c r="LYK45" s="656"/>
      <c r="LYL45" s="657"/>
      <c r="LYM45" s="656"/>
      <c r="LYN45" s="658"/>
      <c r="LYO45" s="656"/>
      <c r="LYP45" s="658"/>
      <c r="LYS45" s="288"/>
      <c r="LYT45" s="312"/>
      <c r="LYU45" s="482"/>
      <c r="LYV45" s="312"/>
      <c r="LYW45" s="656"/>
      <c r="LYX45" s="657"/>
      <c r="LYY45" s="656"/>
      <c r="LYZ45" s="657"/>
      <c r="LZA45" s="656"/>
      <c r="LZB45" s="658"/>
      <c r="LZC45" s="656"/>
      <c r="LZD45" s="658"/>
      <c r="LZG45" s="288"/>
      <c r="LZH45" s="312"/>
      <c r="LZI45" s="482"/>
      <c r="LZJ45" s="312"/>
      <c r="LZK45" s="656"/>
      <c r="LZL45" s="657"/>
      <c r="LZM45" s="656"/>
      <c r="LZN45" s="657"/>
      <c r="LZO45" s="656"/>
      <c r="LZP45" s="658"/>
      <c r="LZQ45" s="656"/>
      <c r="LZR45" s="658"/>
      <c r="LZU45" s="288"/>
      <c r="LZV45" s="312"/>
      <c r="LZW45" s="482"/>
      <c r="LZX45" s="312"/>
      <c r="LZY45" s="656"/>
      <c r="LZZ45" s="657"/>
      <c r="MAA45" s="656"/>
      <c r="MAB45" s="657"/>
      <c r="MAC45" s="656"/>
      <c r="MAD45" s="658"/>
      <c r="MAE45" s="656"/>
      <c r="MAF45" s="658"/>
      <c r="MAI45" s="288"/>
      <c r="MAJ45" s="312"/>
      <c r="MAK45" s="482"/>
      <c r="MAL45" s="312"/>
      <c r="MAM45" s="656"/>
      <c r="MAN45" s="657"/>
      <c r="MAO45" s="656"/>
      <c r="MAP45" s="657"/>
      <c r="MAQ45" s="656"/>
      <c r="MAR45" s="658"/>
      <c r="MAS45" s="656"/>
      <c r="MAT45" s="658"/>
      <c r="MAW45" s="288"/>
      <c r="MAX45" s="312"/>
      <c r="MAY45" s="482"/>
      <c r="MAZ45" s="312"/>
      <c r="MBA45" s="656"/>
      <c r="MBB45" s="657"/>
      <c r="MBC45" s="656"/>
      <c r="MBD45" s="657"/>
      <c r="MBE45" s="656"/>
      <c r="MBF45" s="658"/>
      <c r="MBG45" s="656"/>
      <c r="MBH45" s="658"/>
      <c r="MBK45" s="288"/>
      <c r="MBL45" s="312"/>
      <c r="MBM45" s="482"/>
      <c r="MBN45" s="312"/>
      <c r="MBO45" s="656"/>
      <c r="MBP45" s="657"/>
      <c r="MBQ45" s="656"/>
      <c r="MBR45" s="657"/>
      <c r="MBS45" s="656"/>
      <c r="MBT45" s="658"/>
      <c r="MBU45" s="656"/>
      <c r="MBV45" s="658"/>
      <c r="MBY45" s="288"/>
      <c r="MBZ45" s="312"/>
      <c r="MCA45" s="482"/>
      <c r="MCB45" s="312"/>
      <c r="MCC45" s="656"/>
      <c r="MCD45" s="657"/>
      <c r="MCE45" s="656"/>
      <c r="MCF45" s="657"/>
      <c r="MCG45" s="656"/>
      <c r="MCH45" s="658"/>
      <c r="MCI45" s="656"/>
      <c r="MCJ45" s="658"/>
      <c r="MCM45" s="288"/>
      <c r="MCN45" s="312"/>
      <c r="MCO45" s="482"/>
      <c r="MCP45" s="312"/>
      <c r="MCQ45" s="656"/>
      <c r="MCR45" s="657"/>
      <c r="MCS45" s="656"/>
      <c r="MCT45" s="657"/>
      <c r="MCU45" s="656"/>
      <c r="MCV45" s="658"/>
      <c r="MCW45" s="656"/>
      <c r="MCX45" s="658"/>
      <c r="MDA45" s="288"/>
      <c r="MDB45" s="312"/>
      <c r="MDC45" s="482"/>
      <c r="MDD45" s="312"/>
      <c r="MDE45" s="656"/>
      <c r="MDF45" s="657"/>
      <c r="MDG45" s="656"/>
      <c r="MDH45" s="657"/>
      <c r="MDI45" s="656"/>
      <c r="MDJ45" s="658"/>
      <c r="MDK45" s="656"/>
      <c r="MDL45" s="658"/>
      <c r="MDO45" s="288"/>
      <c r="MDP45" s="312"/>
      <c r="MDQ45" s="482"/>
      <c r="MDR45" s="312"/>
      <c r="MDS45" s="656"/>
      <c r="MDT45" s="657"/>
      <c r="MDU45" s="656"/>
      <c r="MDV45" s="657"/>
      <c r="MDW45" s="656"/>
      <c r="MDX45" s="658"/>
      <c r="MDY45" s="656"/>
      <c r="MDZ45" s="658"/>
      <c r="MEC45" s="288"/>
      <c r="MED45" s="312"/>
      <c r="MEE45" s="482"/>
      <c r="MEF45" s="312"/>
      <c r="MEG45" s="656"/>
      <c r="MEH45" s="657"/>
      <c r="MEI45" s="656"/>
      <c r="MEJ45" s="657"/>
      <c r="MEK45" s="656"/>
      <c r="MEL45" s="658"/>
      <c r="MEM45" s="656"/>
      <c r="MEN45" s="658"/>
      <c r="MEQ45" s="288"/>
      <c r="MER45" s="312"/>
      <c r="MES45" s="482"/>
      <c r="MET45" s="312"/>
      <c r="MEU45" s="656"/>
      <c r="MEV45" s="657"/>
      <c r="MEW45" s="656"/>
      <c r="MEX45" s="657"/>
      <c r="MEY45" s="656"/>
      <c r="MEZ45" s="658"/>
      <c r="MFA45" s="656"/>
      <c r="MFB45" s="658"/>
      <c r="MFE45" s="288"/>
      <c r="MFF45" s="312"/>
      <c r="MFG45" s="482"/>
      <c r="MFH45" s="312"/>
      <c r="MFI45" s="656"/>
      <c r="MFJ45" s="657"/>
      <c r="MFK45" s="656"/>
      <c r="MFL45" s="657"/>
      <c r="MFM45" s="656"/>
      <c r="MFN45" s="658"/>
      <c r="MFO45" s="656"/>
      <c r="MFP45" s="658"/>
      <c r="MFS45" s="288"/>
      <c r="MFT45" s="312"/>
      <c r="MFU45" s="482"/>
      <c r="MFV45" s="312"/>
      <c r="MFW45" s="656"/>
      <c r="MFX45" s="657"/>
      <c r="MFY45" s="656"/>
      <c r="MFZ45" s="657"/>
      <c r="MGA45" s="656"/>
      <c r="MGB45" s="658"/>
      <c r="MGC45" s="656"/>
      <c r="MGD45" s="658"/>
      <c r="MGG45" s="288"/>
      <c r="MGH45" s="312"/>
      <c r="MGI45" s="482"/>
      <c r="MGJ45" s="312"/>
      <c r="MGK45" s="656"/>
      <c r="MGL45" s="657"/>
      <c r="MGM45" s="656"/>
      <c r="MGN45" s="657"/>
      <c r="MGO45" s="656"/>
      <c r="MGP45" s="658"/>
      <c r="MGQ45" s="656"/>
      <c r="MGR45" s="658"/>
      <c r="MGU45" s="288"/>
      <c r="MGV45" s="312"/>
      <c r="MGW45" s="482"/>
      <c r="MGX45" s="312"/>
      <c r="MGY45" s="656"/>
      <c r="MGZ45" s="657"/>
      <c r="MHA45" s="656"/>
      <c r="MHB45" s="657"/>
      <c r="MHC45" s="656"/>
      <c r="MHD45" s="658"/>
      <c r="MHE45" s="656"/>
      <c r="MHF45" s="658"/>
      <c r="MHI45" s="288"/>
      <c r="MHJ45" s="312"/>
      <c r="MHK45" s="482"/>
      <c r="MHL45" s="312"/>
      <c r="MHM45" s="656"/>
      <c r="MHN45" s="657"/>
      <c r="MHO45" s="656"/>
      <c r="MHP45" s="657"/>
      <c r="MHQ45" s="656"/>
      <c r="MHR45" s="658"/>
      <c r="MHS45" s="656"/>
      <c r="MHT45" s="658"/>
      <c r="MHW45" s="288"/>
      <c r="MHX45" s="312"/>
      <c r="MHY45" s="482"/>
      <c r="MHZ45" s="312"/>
      <c r="MIA45" s="656"/>
      <c r="MIB45" s="657"/>
      <c r="MIC45" s="656"/>
      <c r="MID45" s="657"/>
      <c r="MIE45" s="656"/>
      <c r="MIF45" s="658"/>
      <c r="MIG45" s="656"/>
      <c r="MIH45" s="658"/>
      <c r="MIK45" s="288"/>
      <c r="MIL45" s="312"/>
      <c r="MIM45" s="482"/>
      <c r="MIN45" s="312"/>
      <c r="MIO45" s="656"/>
      <c r="MIP45" s="657"/>
      <c r="MIQ45" s="656"/>
      <c r="MIR45" s="657"/>
      <c r="MIS45" s="656"/>
      <c r="MIT45" s="658"/>
      <c r="MIU45" s="656"/>
      <c r="MIV45" s="658"/>
      <c r="MIY45" s="288"/>
      <c r="MIZ45" s="312"/>
      <c r="MJA45" s="482"/>
      <c r="MJB45" s="312"/>
      <c r="MJC45" s="656"/>
      <c r="MJD45" s="657"/>
      <c r="MJE45" s="656"/>
      <c r="MJF45" s="657"/>
      <c r="MJG45" s="656"/>
      <c r="MJH45" s="658"/>
      <c r="MJI45" s="656"/>
      <c r="MJJ45" s="658"/>
      <c r="MJM45" s="288"/>
      <c r="MJN45" s="312"/>
      <c r="MJO45" s="482"/>
      <c r="MJP45" s="312"/>
      <c r="MJQ45" s="656"/>
      <c r="MJR45" s="657"/>
      <c r="MJS45" s="656"/>
      <c r="MJT45" s="657"/>
      <c r="MJU45" s="656"/>
      <c r="MJV45" s="658"/>
      <c r="MJW45" s="656"/>
      <c r="MJX45" s="658"/>
      <c r="MKA45" s="288"/>
      <c r="MKB45" s="312"/>
      <c r="MKC45" s="482"/>
      <c r="MKD45" s="312"/>
      <c r="MKE45" s="656"/>
      <c r="MKF45" s="657"/>
      <c r="MKG45" s="656"/>
      <c r="MKH45" s="657"/>
      <c r="MKI45" s="656"/>
      <c r="MKJ45" s="658"/>
      <c r="MKK45" s="656"/>
      <c r="MKL45" s="658"/>
      <c r="MKO45" s="288"/>
      <c r="MKP45" s="312"/>
      <c r="MKQ45" s="482"/>
      <c r="MKR45" s="312"/>
      <c r="MKS45" s="656"/>
      <c r="MKT45" s="657"/>
      <c r="MKU45" s="656"/>
      <c r="MKV45" s="657"/>
      <c r="MKW45" s="656"/>
      <c r="MKX45" s="658"/>
      <c r="MKY45" s="656"/>
      <c r="MKZ45" s="658"/>
      <c r="MLC45" s="288"/>
      <c r="MLD45" s="312"/>
      <c r="MLE45" s="482"/>
      <c r="MLF45" s="312"/>
      <c r="MLG45" s="656"/>
      <c r="MLH45" s="657"/>
      <c r="MLI45" s="656"/>
      <c r="MLJ45" s="657"/>
      <c r="MLK45" s="656"/>
      <c r="MLL45" s="658"/>
      <c r="MLM45" s="656"/>
      <c r="MLN45" s="658"/>
      <c r="MLQ45" s="288"/>
      <c r="MLR45" s="312"/>
      <c r="MLS45" s="482"/>
      <c r="MLT45" s="312"/>
      <c r="MLU45" s="656"/>
      <c r="MLV45" s="657"/>
      <c r="MLW45" s="656"/>
      <c r="MLX45" s="657"/>
      <c r="MLY45" s="656"/>
      <c r="MLZ45" s="658"/>
      <c r="MMA45" s="656"/>
      <c r="MMB45" s="658"/>
      <c r="MME45" s="288"/>
      <c r="MMF45" s="312"/>
      <c r="MMG45" s="482"/>
      <c r="MMH45" s="312"/>
      <c r="MMI45" s="656"/>
      <c r="MMJ45" s="657"/>
      <c r="MMK45" s="656"/>
      <c r="MML45" s="657"/>
      <c r="MMM45" s="656"/>
      <c r="MMN45" s="658"/>
      <c r="MMO45" s="656"/>
      <c r="MMP45" s="658"/>
      <c r="MMS45" s="288"/>
      <c r="MMT45" s="312"/>
      <c r="MMU45" s="482"/>
      <c r="MMV45" s="312"/>
      <c r="MMW45" s="656"/>
      <c r="MMX45" s="657"/>
      <c r="MMY45" s="656"/>
      <c r="MMZ45" s="657"/>
      <c r="MNA45" s="656"/>
      <c r="MNB45" s="658"/>
      <c r="MNC45" s="656"/>
      <c r="MND45" s="658"/>
      <c r="MNG45" s="288"/>
      <c r="MNH45" s="312"/>
      <c r="MNI45" s="482"/>
      <c r="MNJ45" s="312"/>
      <c r="MNK45" s="656"/>
      <c r="MNL45" s="657"/>
      <c r="MNM45" s="656"/>
      <c r="MNN45" s="657"/>
      <c r="MNO45" s="656"/>
      <c r="MNP45" s="658"/>
      <c r="MNQ45" s="656"/>
      <c r="MNR45" s="658"/>
      <c r="MNU45" s="288"/>
      <c r="MNV45" s="312"/>
      <c r="MNW45" s="482"/>
      <c r="MNX45" s="312"/>
      <c r="MNY45" s="656"/>
      <c r="MNZ45" s="657"/>
      <c r="MOA45" s="656"/>
      <c r="MOB45" s="657"/>
      <c r="MOC45" s="656"/>
      <c r="MOD45" s="658"/>
      <c r="MOE45" s="656"/>
      <c r="MOF45" s="658"/>
      <c r="MOI45" s="288"/>
      <c r="MOJ45" s="312"/>
      <c r="MOK45" s="482"/>
      <c r="MOL45" s="312"/>
      <c r="MOM45" s="656"/>
      <c r="MON45" s="657"/>
      <c r="MOO45" s="656"/>
      <c r="MOP45" s="657"/>
      <c r="MOQ45" s="656"/>
      <c r="MOR45" s="658"/>
      <c r="MOS45" s="656"/>
      <c r="MOT45" s="658"/>
      <c r="MOW45" s="288"/>
      <c r="MOX45" s="312"/>
      <c r="MOY45" s="482"/>
      <c r="MOZ45" s="312"/>
      <c r="MPA45" s="656"/>
      <c r="MPB45" s="657"/>
      <c r="MPC45" s="656"/>
      <c r="MPD45" s="657"/>
      <c r="MPE45" s="656"/>
      <c r="MPF45" s="658"/>
      <c r="MPG45" s="656"/>
      <c r="MPH45" s="658"/>
      <c r="MPK45" s="288"/>
      <c r="MPL45" s="312"/>
      <c r="MPM45" s="482"/>
      <c r="MPN45" s="312"/>
      <c r="MPO45" s="656"/>
      <c r="MPP45" s="657"/>
      <c r="MPQ45" s="656"/>
      <c r="MPR45" s="657"/>
      <c r="MPS45" s="656"/>
      <c r="MPT45" s="658"/>
      <c r="MPU45" s="656"/>
      <c r="MPV45" s="658"/>
      <c r="MPY45" s="288"/>
      <c r="MPZ45" s="312"/>
      <c r="MQA45" s="482"/>
      <c r="MQB45" s="312"/>
      <c r="MQC45" s="656"/>
      <c r="MQD45" s="657"/>
      <c r="MQE45" s="656"/>
      <c r="MQF45" s="657"/>
      <c r="MQG45" s="656"/>
      <c r="MQH45" s="658"/>
      <c r="MQI45" s="656"/>
      <c r="MQJ45" s="658"/>
      <c r="MQM45" s="288"/>
      <c r="MQN45" s="312"/>
      <c r="MQO45" s="482"/>
      <c r="MQP45" s="312"/>
      <c r="MQQ45" s="656"/>
      <c r="MQR45" s="657"/>
      <c r="MQS45" s="656"/>
      <c r="MQT45" s="657"/>
      <c r="MQU45" s="656"/>
      <c r="MQV45" s="658"/>
      <c r="MQW45" s="656"/>
      <c r="MQX45" s="658"/>
      <c r="MRA45" s="288"/>
      <c r="MRB45" s="312"/>
      <c r="MRC45" s="482"/>
      <c r="MRD45" s="312"/>
      <c r="MRE45" s="656"/>
      <c r="MRF45" s="657"/>
      <c r="MRG45" s="656"/>
      <c r="MRH45" s="657"/>
      <c r="MRI45" s="656"/>
      <c r="MRJ45" s="658"/>
      <c r="MRK45" s="656"/>
      <c r="MRL45" s="658"/>
      <c r="MRO45" s="288"/>
      <c r="MRP45" s="312"/>
      <c r="MRQ45" s="482"/>
      <c r="MRR45" s="312"/>
      <c r="MRS45" s="656"/>
      <c r="MRT45" s="657"/>
      <c r="MRU45" s="656"/>
      <c r="MRV45" s="657"/>
      <c r="MRW45" s="656"/>
      <c r="MRX45" s="658"/>
      <c r="MRY45" s="656"/>
      <c r="MRZ45" s="658"/>
      <c r="MSC45" s="288"/>
      <c r="MSD45" s="312"/>
      <c r="MSE45" s="482"/>
      <c r="MSF45" s="312"/>
      <c r="MSG45" s="656"/>
      <c r="MSH45" s="657"/>
      <c r="MSI45" s="656"/>
      <c r="MSJ45" s="657"/>
      <c r="MSK45" s="656"/>
      <c r="MSL45" s="658"/>
      <c r="MSM45" s="656"/>
      <c r="MSN45" s="658"/>
      <c r="MSQ45" s="288"/>
      <c r="MSR45" s="312"/>
      <c r="MSS45" s="482"/>
      <c r="MST45" s="312"/>
      <c r="MSU45" s="656"/>
      <c r="MSV45" s="657"/>
      <c r="MSW45" s="656"/>
      <c r="MSX45" s="657"/>
      <c r="MSY45" s="656"/>
      <c r="MSZ45" s="658"/>
      <c r="MTA45" s="656"/>
      <c r="MTB45" s="658"/>
      <c r="MTE45" s="288"/>
      <c r="MTF45" s="312"/>
      <c r="MTG45" s="482"/>
      <c r="MTH45" s="312"/>
      <c r="MTI45" s="656"/>
      <c r="MTJ45" s="657"/>
      <c r="MTK45" s="656"/>
      <c r="MTL45" s="657"/>
      <c r="MTM45" s="656"/>
      <c r="MTN45" s="658"/>
      <c r="MTO45" s="656"/>
      <c r="MTP45" s="658"/>
      <c r="MTS45" s="288"/>
      <c r="MTT45" s="312"/>
      <c r="MTU45" s="482"/>
      <c r="MTV45" s="312"/>
      <c r="MTW45" s="656"/>
      <c r="MTX45" s="657"/>
      <c r="MTY45" s="656"/>
      <c r="MTZ45" s="657"/>
      <c r="MUA45" s="656"/>
      <c r="MUB45" s="658"/>
      <c r="MUC45" s="656"/>
      <c r="MUD45" s="658"/>
      <c r="MUG45" s="288"/>
      <c r="MUH45" s="312"/>
      <c r="MUI45" s="482"/>
      <c r="MUJ45" s="312"/>
      <c r="MUK45" s="656"/>
      <c r="MUL45" s="657"/>
      <c r="MUM45" s="656"/>
      <c r="MUN45" s="657"/>
      <c r="MUO45" s="656"/>
      <c r="MUP45" s="658"/>
      <c r="MUQ45" s="656"/>
      <c r="MUR45" s="658"/>
      <c r="MUU45" s="288"/>
      <c r="MUV45" s="312"/>
      <c r="MUW45" s="482"/>
      <c r="MUX45" s="312"/>
      <c r="MUY45" s="656"/>
      <c r="MUZ45" s="657"/>
      <c r="MVA45" s="656"/>
      <c r="MVB45" s="657"/>
      <c r="MVC45" s="656"/>
      <c r="MVD45" s="658"/>
      <c r="MVE45" s="656"/>
      <c r="MVF45" s="658"/>
      <c r="MVI45" s="288"/>
      <c r="MVJ45" s="312"/>
      <c r="MVK45" s="482"/>
      <c r="MVL45" s="312"/>
      <c r="MVM45" s="656"/>
      <c r="MVN45" s="657"/>
      <c r="MVO45" s="656"/>
      <c r="MVP45" s="657"/>
      <c r="MVQ45" s="656"/>
      <c r="MVR45" s="658"/>
      <c r="MVS45" s="656"/>
      <c r="MVT45" s="658"/>
      <c r="MVW45" s="288"/>
      <c r="MVX45" s="312"/>
      <c r="MVY45" s="482"/>
      <c r="MVZ45" s="312"/>
      <c r="MWA45" s="656"/>
      <c r="MWB45" s="657"/>
      <c r="MWC45" s="656"/>
      <c r="MWD45" s="657"/>
      <c r="MWE45" s="656"/>
      <c r="MWF45" s="658"/>
      <c r="MWG45" s="656"/>
      <c r="MWH45" s="658"/>
      <c r="MWK45" s="288"/>
      <c r="MWL45" s="312"/>
      <c r="MWM45" s="482"/>
      <c r="MWN45" s="312"/>
      <c r="MWO45" s="656"/>
      <c r="MWP45" s="657"/>
      <c r="MWQ45" s="656"/>
      <c r="MWR45" s="657"/>
      <c r="MWS45" s="656"/>
      <c r="MWT45" s="658"/>
      <c r="MWU45" s="656"/>
      <c r="MWV45" s="658"/>
      <c r="MWY45" s="288"/>
      <c r="MWZ45" s="312"/>
      <c r="MXA45" s="482"/>
      <c r="MXB45" s="312"/>
      <c r="MXC45" s="656"/>
      <c r="MXD45" s="657"/>
      <c r="MXE45" s="656"/>
      <c r="MXF45" s="657"/>
      <c r="MXG45" s="656"/>
      <c r="MXH45" s="658"/>
      <c r="MXI45" s="656"/>
      <c r="MXJ45" s="658"/>
      <c r="MXM45" s="288"/>
      <c r="MXN45" s="312"/>
      <c r="MXO45" s="482"/>
      <c r="MXP45" s="312"/>
      <c r="MXQ45" s="656"/>
      <c r="MXR45" s="657"/>
      <c r="MXS45" s="656"/>
      <c r="MXT45" s="657"/>
      <c r="MXU45" s="656"/>
      <c r="MXV45" s="658"/>
      <c r="MXW45" s="656"/>
      <c r="MXX45" s="658"/>
      <c r="MYA45" s="288"/>
      <c r="MYB45" s="312"/>
      <c r="MYC45" s="482"/>
      <c r="MYD45" s="312"/>
      <c r="MYE45" s="656"/>
      <c r="MYF45" s="657"/>
      <c r="MYG45" s="656"/>
      <c r="MYH45" s="657"/>
      <c r="MYI45" s="656"/>
      <c r="MYJ45" s="658"/>
      <c r="MYK45" s="656"/>
      <c r="MYL45" s="658"/>
      <c r="MYO45" s="288"/>
      <c r="MYP45" s="312"/>
      <c r="MYQ45" s="482"/>
      <c r="MYR45" s="312"/>
      <c r="MYS45" s="656"/>
      <c r="MYT45" s="657"/>
      <c r="MYU45" s="656"/>
      <c r="MYV45" s="657"/>
      <c r="MYW45" s="656"/>
      <c r="MYX45" s="658"/>
      <c r="MYY45" s="656"/>
      <c r="MYZ45" s="658"/>
      <c r="MZC45" s="288"/>
      <c r="MZD45" s="312"/>
      <c r="MZE45" s="482"/>
      <c r="MZF45" s="312"/>
      <c r="MZG45" s="656"/>
      <c r="MZH45" s="657"/>
      <c r="MZI45" s="656"/>
      <c r="MZJ45" s="657"/>
      <c r="MZK45" s="656"/>
      <c r="MZL45" s="658"/>
      <c r="MZM45" s="656"/>
      <c r="MZN45" s="658"/>
      <c r="MZQ45" s="288"/>
      <c r="MZR45" s="312"/>
      <c r="MZS45" s="482"/>
      <c r="MZT45" s="312"/>
      <c r="MZU45" s="656"/>
      <c r="MZV45" s="657"/>
      <c r="MZW45" s="656"/>
      <c r="MZX45" s="657"/>
      <c r="MZY45" s="656"/>
      <c r="MZZ45" s="658"/>
      <c r="NAA45" s="656"/>
      <c r="NAB45" s="658"/>
      <c r="NAE45" s="288"/>
      <c r="NAF45" s="312"/>
      <c r="NAG45" s="482"/>
      <c r="NAH45" s="312"/>
      <c r="NAI45" s="656"/>
      <c r="NAJ45" s="657"/>
      <c r="NAK45" s="656"/>
      <c r="NAL45" s="657"/>
      <c r="NAM45" s="656"/>
      <c r="NAN45" s="658"/>
      <c r="NAO45" s="656"/>
      <c r="NAP45" s="658"/>
      <c r="NAS45" s="288"/>
      <c r="NAT45" s="312"/>
      <c r="NAU45" s="482"/>
      <c r="NAV45" s="312"/>
      <c r="NAW45" s="656"/>
      <c r="NAX45" s="657"/>
      <c r="NAY45" s="656"/>
      <c r="NAZ45" s="657"/>
      <c r="NBA45" s="656"/>
      <c r="NBB45" s="658"/>
      <c r="NBC45" s="656"/>
      <c r="NBD45" s="658"/>
      <c r="NBG45" s="288"/>
      <c r="NBH45" s="312"/>
      <c r="NBI45" s="482"/>
      <c r="NBJ45" s="312"/>
      <c r="NBK45" s="656"/>
      <c r="NBL45" s="657"/>
      <c r="NBM45" s="656"/>
      <c r="NBN45" s="657"/>
      <c r="NBO45" s="656"/>
      <c r="NBP45" s="658"/>
      <c r="NBQ45" s="656"/>
      <c r="NBR45" s="658"/>
      <c r="NBU45" s="288"/>
      <c r="NBV45" s="312"/>
      <c r="NBW45" s="482"/>
      <c r="NBX45" s="312"/>
      <c r="NBY45" s="656"/>
      <c r="NBZ45" s="657"/>
      <c r="NCA45" s="656"/>
      <c r="NCB45" s="657"/>
      <c r="NCC45" s="656"/>
      <c r="NCD45" s="658"/>
      <c r="NCE45" s="656"/>
      <c r="NCF45" s="658"/>
      <c r="NCI45" s="288"/>
      <c r="NCJ45" s="312"/>
      <c r="NCK45" s="482"/>
      <c r="NCL45" s="312"/>
      <c r="NCM45" s="656"/>
      <c r="NCN45" s="657"/>
      <c r="NCO45" s="656"/>
      <c r="NCP45" s="657"/>
      <c r="NCQ45" s="656"/>
      <c r="NCR45" s="658"/>
      <c r="NCS45" s="656"/>
      <c r="NCT45" s="658"/>
      <c r="NCW45" s="288"/>
      <c r="NCX45" s="312"/>
      <c r="NCY45" s="482"/>
      <c r="NCZ45" s="312"/>
      <c r="NDA45" s="656"/>
      <c r="NDB45" s="657"/>
      <c r="NDC45" s="656"/>
      <c r="NDD45" s="657"/>
      <c r="NDE45" s="656"/>
      <c r="NDF45" s="658"/>
      <c r="NDG45" s="656"/>
      <c r="NDH45" s="658"/>
      <c r="NDK45" s="288"/>
      <c r="NDL45" s="312"/>
      <c r="NDM45" s="482"/>
      <c r="NDN45" s="312"/>
      <c r="NDO45" s="656"/>
      <c r="NDP45" s="657"/>
      <c r="NDQ45" s="656"/>
      <c r="NDR45" s="657"/>
      <c r="NDS45" s="656"/>
      <c r="NDT45" s="658"/>
      <c r="NDU45" s="656"/>
      <c r="NDV45" s="658"/>
      <c r="NDY45" s="288"/>
      <c r="NDZ45" s="312"/>
      <c r="NEA45" s="482"/>
      <c r="NEB45" s="312"/>
      <c r="NEC45" s="656"/>
      <c r="NED45" s="657"/>
      <c r="NEE45" s="656"/>
      <c r="NEF45" s="657"/>
      <c r="NEG45" s="656"/>
      <c r="NEH45" s="658"/>
      <c r="NEI45" s="656"/>
      <c r="NEJ45" s="658"/>
      <c r="NEM45" s="288"/>
      <c r="NEN45" s="312"/>
      <c r="NEO45" s="482"/>
      <c r="NEP45" s="312"/>
      <c r="NEQ45" s="656"/>
      <c r="NER45" s="657"/>
      <c r="NES45" s="656"/>
      <c r="NET45" s="657"/>
      <c r="NEU45" s="656"/>
      <c r="NEV45" s="658"/>
      <c r="NEW45" s="656"/>
      <c r="NEX45" s="658"/>
      <c r="NFA45" s="288"/>
      <c r="NFB45" s="312"/>
      <c r="NFC45" s="482"/>
      <c r="NFD45" s="312"/>
      <c r="NFE45" s="656"/>
      <c r="NFF45" s="657"/>
      <c r="NFG45" s="656"/>
      <c r="NFH45" s="657"/>
      <c r="NFI45" s="656"/>
      <c r="NFJ45" s="658"/>
      <c r="NFK45" s="656"/>
      <c r="NFL45" s="658"/>
      <c r="NFO45" s="288"/>
      <c r="NFP45" s="312"/>
      <c r="NFQ45" s="482"/>
      <c r="NFR45" s="312"/>
      <c r="NFS45" s="656"/>
      <c r="NFT45" s="657"/>
      <c r="NFU45" s="656"/>
      <c r="NFV45" s="657"/>
      <c r="NFW45" s="656"/>
      <c r="NFX45" s="658"/>
      <c r="NFY45" s="656"/>
      <c r="NFZ45" s="658"/>
      <c r="NGC45" s="288"/>
      <c r="NGD45" s="312"/>
      <c r="NGE45" s="482"/>
      <c r="NGF45" s="312"/>
      <c r="NGG45" s="656"/>
      <c r="NGH45" s="657"/>
      <c r="NGI45" s="656"/>
      <c r="NGJ45" s="657"/>
      <c r="NGK45" s="656"/>
      <c r="NGL45" s="658"/>
      <c r="NGM45" s="656"/>
      <c r="NGN45" s="658"/>
      <c r="NGQ45" s="288"/>
      <c r="NGR45" s="312"/>
      <c r="NGS45" s="482"/>
      <c r="NGT45" s="312"/>
      <c r="NGU45" s="656"/>
      <c r="NGV45" s="657"/>
      <c r="NGW45" s="656"/>
      <c r="NGX45" s="657"/>
      <c r="NGY45" s="656"/>
      <c r="NGZ45" s="658"/>
      <c r="NHA45" s="656"/>
      <c r="NHB45" s="658"/>
      <c r="NHE45" s="288"/>
      <c r="NHF45" s="312"/>
      <c r="NHG45" s="482"/>
      <c r="NHH45" s="312"/>
      <c r="NHI45" s="656"/>
      <c r="NHJ45" s="657"/>
      <c r="NHK45" s="656"/>
      <c r="NHL45" s="657"/>
      <c r="NHM45" s="656"/>
      <c r="NHN45" s="658"/>
      <c r="NHO45" s="656"/>
      <c r="NHP45" s="658"/>
      <c r="NHS45" s="288"/>
      <c r="NHT45" s="312"/>
      <c r="NHU45" s="482"/>
      <c r="NHV45" s="312"/>
      <c r="NHW45" s="656"/>
      <c r="NHX45" s="657"/>
      <c r="NHY45" s="656"/>
      <c r="NHZ45" s="657"/>
      <c r="NIA45" s="656"/>
      <c r="NIB45" s="658"/>
      <c r="NIC45" s="656"/>
      <c r="NID45" s="658"/>
      <c r="NIG45" s="288"/>
      <c r="NIH45" s="312"/>
      <c r="NII45" s="482"/>
      <c r="NIJ45" s="312"/>
      <c r="NIK45" s="656"/>
      <c r="NIL45" s="657"/>
      <c r="NIM45" s="656"/>
      <c r="NIN45" s="657"/>
      <c r="NIO45" s="656"/>
      <c r="NIP45" s="658"/>
      <c r="NIQ45" s="656"/>
      <c r="NIR45" s="658"/>
      <c r="NIU45" s="288"/>
      <c r="NIV45" s="312"/>
      <c r="NIW45" s="482"/>
      <c r="NIX45" s="312"/>
      <c r="NIY45" s="656"/>
      <c r="NIZ45" s="657"/>
      <c r="NJA45" s="656"/>
      <c r="NJB45" s="657"/>
      <c r="NJC45" s="656"/>
      <c r="NJD45" s="658"/>
      <c r="NJE45" s="656"/>
      <c r="NJF45" s="658"/>
      <c r="NJI45" s="288"/>
      <c r="NJJ45" s="312"/>
      <c r="NJK45" s="482"/>
      <c r="NJL45" s="312"/>
      <c r="NJM45" s="656"/>
      <c r="NJN45" s="657"/>
      <c r="NJO45" s="656"/>
      <c r="NJP45" s="657"/>
      <c r="NJQ45" s="656"/>
      <c r="NJR45" s="658"/>
      <c r="NJS45" s="656"/>
      <c r="NJT45" s="658"/>
      <c r="NJW45" s="288"/>
      <c r="NJX45" s="312"/>
      <c r="NJY45" s="482"/>
      <c r="NJZ45" s="312"/>
      <c r="NKA45" s="656"/>
      <c r="NKB45" s="657"/>
      <c r="NKC45" s="656"/>
      <c r="NKD45" s="657"/>
      <c r="NKE45" s="656"/>
      <c r="NKF45" s="658"/>
      <c r="NKG45" s="656"/>
      <c r="NKH45" s="658"/>
      <c r="NKK45" s="288"/>
      <c r="NKL45" s="312"/>
      <c r="NKM45" s="482"/>
      <c r="NKN45" s="312"/>
      <c r="NKO45" s="656"/>
      <c r="NKP45" s="657"/>
      <c r="NKQ45" s="656"/>
      <c r="NKR45" s="657"/>
      <c r="NKS45" s="656"/>
      <c r="NKT45" s="658"/>
      <c r="NKU45" s="656"/>
      <c r="NKV45" s="658"/>
      <c r="NKY45" s="288"/>
      <c r="NKZ45" s="312"/>
      <c r="NLA45" s="482"/>
      <c r="NLB45" s="312"/>
      <c r="NLC45" s="656"/>
      <c r="NLD45" s="657"/>
      <c r="NLE45" s="656"/>
      <c r="NLF45" s="657"/>
      <c r="NLG45" s="656"/>
      <c r="NLH45" s="658"/>
      <c r="NLI45" s="656"/>
      <c r="NLJ45" s="658"/>
      <c r="NLM45" s="288"/>
      <c r="NLN45" s="312"/>
      <c r="NLO45" s="482"/>
      <c r="NLP45" s="312"/>
      <c r="NLQ45" s="656"/>
      <c r="NLR45" s="657"/>
      <c r="NLS45" s="656"/>
      <c r="NLT45" s="657"/>
      <c r="NLU45" s="656"/>
      <c r="NLV45" s="658"/>
      <c r="NLW45" s="656"/>
      <c r="NLX45" s="658"/>
      <c r="NMA45" s="288"/>
      <c r="NMB45" s="312"/>
      <c r="NMC45" s="482"/>
      <c r="NMD45" s="312"/>
      <c r="NME45" s="656"/>
      <c r="NMF45" s="657"/>
      <c r="NMG45" s="656"/>
      <c r="NMH45" s="657"/>
      <c r="NMI45" s="656"/>
      <c r="NMJ45" s="658"/>
      <c r="NMK45" s="656"/>
      <c r="NML45" s="658"/>
      <c r="NMO45" s="288"/>
      <c r="NMP45" s="312"/>
      <c r="NMQ45" s="482"/>
      <c r="NMR45" s="312"/>
      <c r="NMS45" s="656"/>
      <c r="NMT45" s="657"/>
      <c r="NMU45" s="656"/>
      <c r="NMV45" s="657"/>
      <c r="NMW45" s="656"/>
      <c r="NMX45" s="658"/>
      <c r="NMY45" s="656"/>
      <c r="NMZ45" s="658"/>
      <c r="NNC45" s="288"/>
      <c r="NND45" s="312"/>
      <c r="NNE45" s="482"/>
      <c r="NNF45" s="312"/>
      <c r="NNG45" s="656"/>
      <c r="NNH45" s="657"/>
      <c r="NNI45" s="656"/>
      <c r="NNJ45" s="657"/>
      <c r="NNK45" s="656"/>
      <c r="NNL45" s="658"/>
      <c r="NNM45" s="656"/>
      <c r="NNN45" s="658"/>
      <c r="NNQ45" s="288"/>
      <c r="NNR45" s="312"/>
      <c r="NNS45" s="482"/>
      <c r="NNT45" s="312"/>
      <c r="NNU45" s="656"/>
      <c r="NNV45" s="657"/>
      <c r="NNW45" s="656"/>
      <c r="NNX45" s="657"/>
      <c r="NNY45" s="656"/>
      <c r="NNZ45" s="658"/>
      <c r="NOA45" s="656"/>
      <c r="NOB45" s="658"/>
      <c r="NOE45" s="288"/>
      <c r="NOF45" s="312"/>
      <c r="NOG45" s="482"/>
      <c r="NOH45" s="312"/>
      <c r="NOI45" s="656"/>
      <c r="NOJ45" s="657"/>
      <c r="NOK45" s="656"/>
      <c r="NOL45" s="657"/>
      <c r="NOM45" s="656"/>
      <c r="NON45" s="658"/>
      <c r="NOO45" s="656"/>
      <c r="NOP45" s="658"/>
      <c r="NOS45" s="288"/>
      <c r="NOT45" s="312"/>
      <c r="NOU45" s="482"/>
      <c r="NOV45" s="312"/>
      <c r="NOW45" s="656"/>
      <c r="NOX45" s="657"/>
      <c r="NOY45" s="656"/>
      <c r="NOZ45" s="657"/>
      <c r="NPA45" s="656"/>
      <c r="NPB45" s="658"/>
      <c r="NPC45" s="656"/>
      <c r="NPD45" s="658"/>
      <c r="NPG45" s="288"/>
      <c r="NPH45" s="312"/>
      <c r="NPI45" s="482"/>
      <c r="NPJ45" s="312"/>
      <c r="NPK45" s="656"/>
      <c r="NPL45" s="657"/>
      <c r="NPM45" s="656"/>
      <c r="NPN45" s="657"/>
      <c r="NPO45" s="656"/>
      <c r="NPP45" s="658"/>
      <c r="NPQ45" s="656"/>
      <c r="NPR45" s="658"/>
      <c r="NPU45" s="288"/>
      <c r="NPV45" s="312"/>
      <c r="NPW45" s="482"/>
      <c r="NPX45" s="312"/>
      <c r="NPY45" s="656"/>
      <c r="NPZ45" s="657"/>
      <c r="NQA45" s="656"/>
      <c r="NQB45" s="657"/>
      <c r="NQC45" s="656"/>
      <c r="NQD45" s="658"/>
      <c r="NQE45" s="656"/>
      <c r="NQF45" s="658"/>
      <c r="NQI45" s="288"/>
      <c r="NQJ45" s="312"/>
      <c r="NQK45" s="482"/>
      <c r="NQL45" s="312"/>
      <c r="NQM45" s="656"/>
      <c r="NQN45" s="657"/>
      <c r="NQO45" s="656"/>
      <c r="NQP45" s="657"/>
      <c r="NQQ45" s="656"/>
      <c r="NQR45" s="658"/>
      <c r="NQS45" s="656"/>
      <c r="NQT45" s="658"/>
      <c r="NQW45" s="288"/>
      <c r="NQX45" s="312"/>
      <c r="NQY45" s="482"/>
      <c r="NQZ45" s="312"/>
      <c r="NRA45" s="656"/>
      <c r="NRB45" s="657"/>
      <c r="NRC45" s="656"/>
      <c r="NRD45" s="657"/>
      <c r="NRE45" s="656"/>
      <c r="NRF45" s="658"/>
      <c r="NRG45" s="656"/>
      <c r="NRH45" s="658"/>
      <c r="NRK45" s="288"/>
      <c r="NRL45" s="312"/>
      <c r="NRM45" s="482"/>
      <c r="NRN45" s="312"/>
      <c r="NRO45" s="656"/>
      <c r="NRP45" s="657"/>
      <c r="NRQ45" s="656"/>
      <c r="NRR45" s="657"/>
      <c r="NRS45" s="656"/>
      <c r="NRT45" s="658"/>
      <c r="NRU45" s="656"/>
      <c r="NRV45" s="658"/>
      <c r="NRY45" s="288"/>
      <c r="NRZ45" s="312"/>
      <c r="NSA45" s="482"/>
      <c r="NSB45" s="312"/>
      <c r="NSC45" s="656"/>
      <c r="NSD45" s="657"/>
      <c r="NSE45" s="656"/>
      <c r="NSF45" s="657"/>
      <c r="NSG45" s="656"/>
      <c r="NSH45" s="658"/>
      <c r="NSI45" s="656"/>
      <c r="NSJ45" s="658"/>
      <c r="NSM45" s="288"/>
      <c r="NSN45" s="312"/>
      <c r="NSO45" s="482"/>
      <c r="NSP45" s="312"/>
      <c r="NSQ45" s="656"/>
      <c r="NSR45" s="657"/>
      <c r="NSS45" s="656"/>
      <c r="NST45" s="657"/>
      <c r="NSU45" s="656"/>
      <c r="NSV45" s="658"/>
      <c r="NSW45" s="656"/>
      <c r="NSX45" s="658"/>
      <c r="NTA45" s="288"/>
      <c r="NTB45" s="312"/>
      <c r="NTC45" s="482"/>
      <c r="NTD45" s="312"/>
      <c r="NTE45" s="656"/>
      <c r="NTF45" s="657"/>
      <c r="NTG45" s="656"/>
      <c r="NTH45" s="657"/>
      <c r="NTI45" s="656"/>
      <c r="NTJ45" s="658"/>
      <c r="NTK45" s="656"/>
      <c r="NTL45" s="658"/>
      <c r="NTO45" s="288"/>
      <c r="NTP45" s="312"/>
      <c r="NTQ45" s="482"/>
      <c r="NTR45" s="312"/>
      <c r="NTS45" s="656"/>
      <c r="NTT45" s="657"/>
      <c r="NTU45" s="656"/>
      <c r="NTV45" s="657"/>
      <c r="NTW45" s="656"/>
      <c r="NTX45" s="658"/>
      <c r="NTY45" s="656"/>
      <c r="NTZ45" s="658"/>
      <c r="NUC45" s="288"/>
      <c r="NUD45" s="312"/>
      <c r="NUE45" s="482"/>
      <c r="NUF45" s="312"/>
      <c r="NUG45" s="656"/>
      <c r="NUH45" s="657"/>
      <c r="NUI45" s="656"/>
      <c r="NUJ45" s="657"/>
      <c r="NUK45" s="656"/>
      <c r="NUL45" s="658"/>
      <c r="NUM45" s="656"/>
      <c r="NUN45" s="658"/>
      <c r="NUQ45" s="288"/>
      <c r="NUR45" s="312"/>
      <c r="NUS45" s="482"/>
      <c r="NUT45" s="312"/>
      <c r="NUU45" s="656"/>
      <c r="NUV45" s="657"/>
      <c r="NUW45" s="656"/>
      <c r="NUX45" s="657"/>
      <c r="NUY45" s="656"/>
      <c r="NUZ45" s="658"/>
      <c r="NVA45" s="656"/>
      <c r="NVB45" s="658"/>
      <c r="NVE45" s="288"/>
      <c r="NVF45" s="312"/>
      <c r="NVG45" s="482"/>
      <c r="NVH45" s="312"/>
      <c r="NVI45" s="656"/>
      <c r="NVJ45" s="657"/>
      <c r="NVK45" s="656"/>
      <c r="NVL45" s="657"/>
      <c r="NVM45" s="656"/>
      <c r="NVN45" s="658"/>
      <c r="NVO45" s="656"/>
      <c r="NVP45" s="658"/>
      <c r="NVS45" s="288"/>
      <c r="NVT45" s="312"/>
      <c r="NVU45" s="482"/>
      <c r="NVV45" s="312"/>
      <c r="NVW45" s="656"/>
      <c r="NVX45" s="657"/>
      <c r="NVY45" s="656"/>
      <c r="NVZ45" s="657"/>
      <c r="NWA45" s="656"/>
      <c r="NWB45" s="658"/>
      <c r="NWC45" s="656"/>
      <c r="NWD45" s="658"/>
      <c r="NWG45" s="288"/>
      <c r="NWH45" s="312"/>
      <c r="NWI45" s="482"/>
      <c r="NWJ45" s="312"/>
      <c r="NWK45" s="656"/>
      <c r="NWL45" s="657"/>
      <c r="NWM45" s="656"/>
      <c r="NWN45" s="657"/>
      <c r="NWO45" s="656"/>
      <c r="NWP45" s="658"/>
      <c r="NWQ45" s="656"/>
      <c r="NWR45" s="658"/>
      <c r="NWU45" s="288"/>
      <c r="NWV45" s="312"/>
      <c r="NWW45" s="482"/>
      <c r="NWX45" s="312"/>
      <c r="NWY45" s="656"/>
      <c r="NWZ45" s="657"/>
      <c r="NXA45" s="656"/>
      <c r="NXB45" s="657"/>
      <c r="NXC45" s="656"/>
      <c r="NXD45" s="658"/>
      <c r="NXE45" s="656"/>
      <c r="NXF45" s="658"/>
      <c r="NXI45" s="288"/>
      <c r="NXJ45" s="312"/>
      <c r="NXK45" s="482"/>
      <c r="NXL45" s="312"/>
      <c r="NXM45" s="656"/>
      <c r="NXN45" s="657"/>
      <c r="NXO45" s="656"/>
      <c r="NXP45" s="657"/>
      <c r="NXQ45" s="656"/>
      <c r="NXR45" s="658"/>
      <c r="NXS45" s="656"/>
      <c r="NXT45" s="658"/>
      <c r="NXW45" s="288"/>
      <c r="NXX45" s="312"/>
      <c r="NXY45" s="482"/>
      <c r="NXZ45" s="312"/>
      <c r="NYA45" s="656"/>
      <c r="NYB45" s="657"/>
      <c r="NYC45" s="656"/>
      <c r="NYD45" s="657"/>
      <c r="NYE45" s="656"/>
      <c r="NYF45" s="658"/>
      <c r="NYG45" s="656"/>
      <c r="NYH45" s="658"/>
      <c r="NYK45" s="288"/>
      <c r="NYL45" s="312"/>
      <c r="NYM45" s="482"/>
      <c r="NYN45" s="312"/>
      <c r="NYO45" s="656"/>
      <c r="NYP45" s="657"/>
      <c r="NYQ45" s="656"/>
      <c r="NYR45" s="657"/>
      <c r="NYS45" s="656"/>
      <c r="NYT45" s="658"/>
      <c r="NYU45" s="656"/>
      <c r="NYV45" s="658"/>
      <c r="NYY45" s="288"/>
      <c r="NYZ45" s="312"/>
      <c r="NZA45" s="482"/>
      <c r="NZB45" s="312"/>
      <c r="NZC45" s="656"/>
      <c r="NZD45" s="657"/>
      <c r="NZE45" s="656"/>
      <c r="NZF45" s="657"/>
      <c r="NZG45" s="656"/>
      <c r="NZH45" s="658"/>
      <c r="NZI45" s="656"/>
      <c r="NZJ45" s="658"/>
      <c r="NZM45" s="288"/>
      <c r="NZN45" s="312"/>
      <c r="NZO45" s="482"/>
      <c r="NZP45" s="312"/>
      <c r="NZQ45" s="656"/>
      <c r="NZR45" s="657"/>
      <c r="NZS45" s="656"/>
      <c r="NZT45" s="657"/>
      <c r="NZU45" s="656"/>
      <c r="NZV45" s="658"/>
      <c r="NZW45" s="656"/>
      <c r="NZX45" s="658"/>
      <c r="OAA45" s="288"/>
      <c r="OAB45" s="312"/>
      <c r="OAC45" s="482"/>
      <c r="OAD45" s="312"/>
      <c r="OAE45" s="656"/>
      <c r="OAF45" s="657"/>
      <c r="OAG45" s="656"/>
      <c r="OAH45" s="657"/>
      <c r="OAI45" s="656"/>
      <c r="OAJ45" s="658"/>
      <c r="OAK45" s="656"/>
      <c r="OAL45" s="658"/>
      <c r="OAO45" s="288"/>
      <c r="OAP45" s="312"/>
      <c r="OAQ45" s="482"/>
      <c r="OAR45" s="312"/>
      <c r="OAS45" s="656"/>
      <c r="OAT45" s="657"/>
      <c r="OAU45" s="656"/>
      <c r="OAV45" s="657"/>
      <c r="OAW45" s="656"/>
      <c r="OAX45" s="658"/>
      <c r="OAY45" s="656"/>
      <c r="OAZ45" s="658"/>
      <c r="OBC45" s="288"/>
      <c r="OBD45" s="312"/>
      <c r="OBE45" s="482"/>
      <c r="OBF45" s="312"/>
      <c r="OBG45" s="656"/>
      <c r="OBH45" s="657"/>
      <c r="OBI45" s="656"/>
      <c r="OBJ45" s="657"/>
      <c r="OBK45" s="656"/>
      <c r="OBL45" s="658"/>
      <c r="OBM45" s="656"/>
      <c r="OBN45" s="658"/>
      <c r="OBQ45" s="288"/>
      <c r="OBR45" s="312"/>
      <c r="OBS45" s="482"/>
      <c r="OBT45" s="312"/>
      <c r="OBU45" s="656"/>
      <c r="OBV45" s="657"/>
      <c r="OBW45" s="656"/>
      <c r="OBX45" s="657"/>
      <c r="OBY45" s="656"/>
      <c r="OBZ45" s="658"/>
      <c r="OCA45" s="656"/>
      <c r="OCB45" s="658"/>
      <c r="OCE45" s="288"/>
      <c r="OCF45" s="312"/>
      <c r="OCG45" s="482"/>
      <c r="OCH45" s="312"/>
      <c r="OCI45" s="656"/>
      <c r="OCJ45" s="657"/>
      <c r="OCK45" s="656"/>
      <c r="OCL45" s="657"/>
      <c r="OCM45" s="656"/>
      <c r="OCN45" s="658"/>
      <c r="OCO45" s="656"/>
      <c r="OCP45" s="658"/>
      <c r="OCS45" s="288"/>
      <c r="OCT45" s="312"/>
      <c r="OCU45" s="482"/>
      <c r="OCV45" s="312"/>
      <c r="OCW45" s="656"/>
      <c r="OCX45" s="657"/>
      <c r="OCY45" s="656"/>
      <c r="OCZ45" s="657"/>
      <c r="ODA45" s="656"/>
      <c r="ODB45" s="658"/>
      <c r="ODC45" s="656"/>
      <c r="ODD45" s="658"/>
      <c r="ODG45" s="288"/>
      <c r="ODH45" s="312"/>
      <c r="ODI45" s="482"/>
      <c r="ODJ45" s="312"/>
      <c r="ODK45" s="656"/>
      <c r="ODL45" s="657"/>
      <c r="ODM45" s="656"/>
      <c r="ODN45" s="657"/>
      <c r="ODO45" s="656"/>
      <c r="ODP45" s="658"/>
      <c r="ODQ45" s="656"/>
      <c r="ODR45" s="658"/>
      <c r="ODU45" s="288"/>
      <c r="ODV45" s="312"/>
      <c r="ODW45" s="482"/>
      <c r="ODX45" s="312"/>
      <c r="ODY45" s="656"/>
      <c r="ODZ45" s="657"/>
      <c r="OEA45" s="656"/>
      <c r="OEB45" s="657"/>
      <c r="OEC45" s="656"/>
      <c r="OED45" s="658"/>
      <c r="OEE45" s="656"/>
      <c r="OEF45" s="658"/>
      <c r="OEI45" s="288"/>
      <c r="OEJ45" s="312"/>
      <c r="OEK45" s="482"/>
      <c r="OEL45" s="312"/>
      <c r="OEM45" s="656"/>
      <c r="OEN45" s="657"/>
      <c r="OEO45" s="656"/>
      <c r="OEP45" s="657"/>
      <c r="OEQ45" s="656"/>
      <c r="OER45" s="658"/>
      <c r="OES45" s="656"/>
      <c r="OET45" s="658"/>
      <c r="OEW45" s="288"/>
      <c r="OEX45" s="312"/>
      <c r="OEY45" s="482"/>
      <c r="OEZ45" s="312"/>
      <c r="OFA45" s="656"/>
      <c r="OFB45" s="657"/>
      <c r="OFC45" s="656"/>
      <c r="OFD45" s="657"/>
      <c r="OFE45" s="656"/>
      <c r="OFF45" s="658"/>
      <c r="OFG45" s="656"/>
      <c r="OFH45" s="658"/>
      <c r="OFK45" s="288"/>
      <c r="OFL45" s="312"/>
      <c r="OFM45" s="482"/>
      <c r="OFN45" s="312"/>
      <c r="OFO45" s="656"/>
      <c r="OFP45" s="657"/>
      <c r="OFQ45" s="656"/>
      <c r="OFR45" s="657"/>
      <c r="OFS45" s="656"/>
      <c r="OFT45" s="658"/>
      <c r="OFU45" s="656"/>
      <c r="OFV45" s="658"/>
      <c r="OFY45" s="288"/>
      <c r="OFZ45" s="312"/>
      <c r="OGA45" s="482"/>
      <c r="OGB45" s="312"/>
      <c r="OGC45" s="656"/>
      <c r="OGD45" s="657"/>
      <c r="OGE45" s="656"/>
      <c r="OGF45" s="657"/>
      <c r="OGG45" s="656"/>
      <c r="OGH45" s="658"/>
      <c r="OGI45" s="656"/>
      <c r="OGJ45" s="658"/>
      <c r="OGM45" s="288"/>
      <c r="OGN45" s="312"/>
      <c r="OGO45" s="482"/>
      <c r="OGP45" s="312"/>
      <c r="OGQ45" s="656"/>
      <c r="OGR45" s="657"/>
      <c r="OGS45" s="656"/>
      <c r="OGT45" s="657"/>
      <c r="OGU45" s="656"/>
      <c r="OGV45" s="658"/>
      <c r="OGW45" s="656"/>
      <c r="OGX45" s="658"/>
      <c r="OHA45" s="288"/>
      <c r="OHB45" s="312"/>
      <c r="OHC45" s="482"/>
      <c r="OHD45" s="312"/>
      <c r="OHE45" s="656"/>
      <c r="OHF45" s="657"/>
      <c r="OHG45" s="656"/>
      <c r="OHH45" s="657"/>
      <c r="OHI45" s="656"/>
      <c r="OHJ45" s="658"/>
      <c r="OHK45" s="656"/>
      <c r="OHL45" s="658"/>
      <c r="OHO45" s="288"/>
      <c r="OHP45" s="312"/>
      <c r="OHQ45" s="482"/>
      <c r="OHR45" s="312"/>
      <c r="OHS45" s="656"/>
      <c r="OHT45" s="657"/>
      <c r="OHU45" s="656"/>
      <c r="OHV45" s="657"/>
      <c r="OHW45" s="656"/>
      <c r="OHX45" s="658"/>
      <c r="OHY45" s="656"/>
      <c r="OHZ45" s="658"/>
      <c r="OIC45" s="288"/>
      <c r="OID45" s="312"/>
      <c r="OIE45" s="482"/>
      <c r="OIF45" s="312"/>
      <c r="OIG45" s="656"/>
      <c r="OIH45" s="657"/>
      <c r="OII45" s="656"/>
      <c r="OIJ45" s="657"/>
      <c r="OIK45" s="656"/>
      <c r="OIL45" s="658"/>
      <c r="OIM45" s="656"/>
      <c r="OIN45" s="658"/>
      <c r="OIQ45" s="288"/>
      <c r="OIR45" s="312"/>
      <c r="OIS45" s="482"/>
      <c r="OIT45" s="312"/>
      <c r="OIU45" s="656"/>
      <c r="OIV45" s="657"/>
      <c r="OIW45" s="656"/>
      <c r="OIX45" s="657"/>
      <c r="OIY45" s="656"/>
      <c r="OIZ45" s="658"/>
      <c r="OJA45" s="656"/>
      <c r="OJB45" s="658"/>
      <c r="OJE45" s="288"/>
      <c r="OJF45" s="312"/>
      <c r="OJG45" s="482"/>
      <c r="OJH45" s="312"/>
      <c r="OJI45" s="656"/>
      <c r="OJJ45" s="657"/>
      <c r="OJK45" s="656"/>
      <c r="OJL45" s="657"/>
      <c r="OJM45" s="656"/>
      <c r="OJN45" s="658"/>
      <c r="OJO45" s="656"/>
      <c r="OJP45" s="658"/>
      <c r="OJS45" s="288"/>
      <c r="OJT45" s="312"/>
      <c r="OJU45" s="482"/>
      <c r="OJV45" s="312"/>
      <c r="OJW45" s="656"/>
      <c r="OJX45" s="657"/>
      <c r="OJY45" s="656"/>
      <c r="OJZ45" s="657"/>
      <c r="OKA45" s="656"/>
      <c r="OKB45" s="658"/>
      <c r="OKC45" s="656"/>
      <c r="OKD45" s="658"/>
      <c r="OKG45" s="288"/>
      <c r="OKH45" s="312"/>
      <c r="OKI45" s="482"/>
      <c r="OKJ45" s="312"/>
      <c r="OKK45" s="656"/>
      <c r="OKL45" s="657"/>
      <c r="OKM45" s="656"/>
      <c r="OKN45" s="657"/>
      <c r="OKO45" s="656"/>
      <c r="OKP45" s="658"/>
      <c r="OKQ45" s="656"/>
      <c r="OKR45" s="658"/>
      <c r="OKU45" s="288"/>
      <c r="OKV45" s="312"/>
      <c r="OKW45" s="482"/>
      <c r="OKX45" s="312"/>
      <c r="OKY45" s="656"/>
      <c r="OKZ45" s="657"/>
      <c r="OLA45" s="656"/>
      <c r="OLB45" s="657"/>
      <c r="OLC45" s="656"/>
      <c r="OLD45" s="658"/>
      <c r="OLE45" s="656"/>
      <c r="OLF45" s="658"/>
      <c r="OLI45" s="288"/>
      <c r="OLJ45" s="312"/>
      <c r="OLK45" s="482"/>
      <c r="OLL45" s="312"/>
      <c r="OLM45" s="656"/>
      <c r="OLN45" s="657"/>
      <c r="OLO45" s="656"/>
      <c r="OLP45" s="657"/>
      <c r="OLQ45" s="656"/>
      <c r="OLR45" s="658"/>
      <c r="OLS45" s="656"/>
      <c r="OLT45" s="658"/>
      <c r="OLW45" s="288"/>
      <c r="OLX45" s="312"/>
      <c r="OLY45" s="482"/>
      <c r="OLZ45" s="312"/>
      <c r="OMA45" s="656"/>
      <c r="OMB45" s="657"/>
      <c r="OMC45" s="656"/>
      <c r="OMD45" s="657"/>
      <c r="OME45" s="656"/>
      <c r="OMF45" s="658"/>
      <c r="OMG45" s="656"/>
      <c r="OMH45" s="658"/>
      <c r="OMK45" s="288"/>
      <c r="OML45" s="312"/>
      <c r="OMM45" s="482"/>
      <c r="OMN45" s="312"/>
      <c r="OMO45" s="656"/>
      <c r="OMP45" s="657"/>
      <c r="OMQ45" s="656"/>
      <c r="OMR45" s="657"/>
      <c r="OMS45" s="656"/>
      <c r="OMT45" s="658"/>
      <c r="OMU45" s="656"/>
      <c r="OMV45" s="658"/>
      <c r="OMY45" s="288"/>
      <c r="OMZ45" s="312"/>
      <c r="ONA45" s="482"/>
      <c r="ONB45" s="312"/>
      <c r="ONC45" s="656"/>
      <c r="OND45" s="657"/>
      <c r="ONE45" s="656"/>
      <c r="ONF45" s="657"/>
      <c r="ONG45" s="656"/>
      <c r="ONH45" s="658"/>
      <c r="ONI45" s="656"/>
      <c r="ONJ45" s="658"/>
      <c r="ONM45" s="288"/>
      <c r="ONN45" s="312"/>
      <c r="ONO45" s="482"/>
      <c r="ONP45" s="312"/>
      <c r="ONQ45" s="656"/>
      <c r="ONR45" s="657"/>
      <c r="ONS45" s="656"/>
      <c r="ONT45" s="657"/>
      <c r="ONU45" s="656"/>
      <c r="ONV45" s="658"/>
      <c r="ONW45" s="656"/>
      <c r="ONX45" s="658"/>
      <c r="OOA45" s="288"/>
      <c r="OOB45" s="312"/>
      <c r="OOC45" s="482"/>
      <c r="OOD45" s="312"/>
      <c r="OOE45" s="656"/>
      <c r="OOF45" s="657"/>
      <c r="OOG45" s="656"/>
      <c r="OOH45" s="657"/>
      <c r="OOI45" s="656"/>
      <c r="OOJ45" s="658"/>
      <c r="OOK45" s="656"/>
      <c r="OOL45" s="658"/>
      <c r="OOO45" s="288"/>
      <c r="OOP45" s="312"/>
      <c r="OOQ45" s="482"/>
      <c r="OOR45" s="312"/>
      <c r="OOS45" s="656"/>
      <c r="OOT45" s="657"/>
      <c r="OOU45" s="656"/>
      <c r="OOV45" s="657"/>
      <c r="OOW45" s="656"/>
      <c r="OOX45" s="658"/>
      <c r="OOY45" s="656"/>
      <c r="OOZ45" s="658"/>
      <c r="OPC45" s="288"/>
      <c r="OPD45" s="312"/>
      <c r="OPE45" s="482"/>
      <c r="OPF45" s="312"/>
      <c r="OPG45" s="656"/>
      <c r="OPH45" s="657"/>
      <c r="OPI45" s="656"/>
      <c r="OPJ45" s="657"/>
      <c r="OPK45" s="656"/>
      <c r="OPL45" s="658"/>
      <c r="OPM45" s="656"/>
      <c r="OPN45" s="658"/>
      <c r="OPQ45" s="288"/>
      <c r="OPR45" s="312"/>
      <c r="OPS45" s="482"/>
      <c r="OPT45" s="312"/>
      <c r="OPU45" s="656"/>
      <c r="OPV45" s="657"/>
      <c r="OPW45" s="656"/>
      <c r="OPX45" s="657"/>
      <c r="OPY45" s="656"/>
      <c r="OPZ45" s="658"/>
      <c r="OQA45" s="656"/>
      <c r="OQB45" s="658"/>
      <c r="OQE45" s="288"/>
      <c r="OQF45" s="312"/>
      <c r="OQG45" s="482"/>
      <c r="OQH45" s="312"/>
      <c r="OQI45" s="656"/>
      <c r="OQJ45" s="657"/>
      <c r="OQK45" s="656"/>
      <c r="OQL45" s="657"/>
      <c r="OQM45" s="656"/>
      <c r="OQN45" s="658"/>
      <c r="OQO45" s="656"/>
      <c r="OQP45" s="658"/>
      <c r="OQS45" s="288"/>
      <c r="OQT45" s="312"/>
      <c r="OQU45" s="482"/>
      <c r="OQV45" s="312"/>
      <c r="OQW45" s="656"/>
      <c r="OQX45" s="657"/>
      <c r="OQY45" s="656"/>
      <c r="OQZ45" s="657"/>
      <c r="ORA45" s="656"/>
      <c r="ORB45" s="658"/>
      <c r="ORC45" s="656"/>
      <c r="ORD45" s="658"/>
      <c r="ORG45" s="288"/>
      <c r="ORH45" s="312"/>
      <c r="ORI45" s="482"/>
      <c r="ORJ45" s="312"/>
      <c r="ORK45" s="656"/>
      <c r="ORL45" s="657"/>
      <c r="ORM45" s="656"/>
      <c r="ORN45" s="657"/>
      <c r="ORO45" s="656"/>
      <c r="ORP45" s="658"/>
      <c r="ORQ45" s="656"/>
      <c r="ORR45" s="658"/>
      <c r="ORU45" s="288"/>
      <c r="ORV45" s="312"/>
      <c r="ORW45" s="482"/>
      <c r="ORX45" s="312"/>
      <c r="ORY45" s="656"/>
      <c r="ORZ45" s="657"/>
      <c r="OSA45" s="656"/>
      <c r="OSB45" s="657"/>
      <c r="OSC45" s="656"/>
      <c r="OSD45" s="658"/>
      <c r="OSE45" s="656"/>
      <c r="OSF45" s="658"/>
      <c r="OSI45" s="288"/>
      <c r="OSJ45" s="312"/>
      <c r="OSK45" s="482"/>
      <c r="OSL45" s="312"/>
      <c r="OSM45" s="656"/>
      <c r="OSN45" s="657"/>
      <c r="OSO45" s="656"/>
      <c r="OSP45" s="657"/>
      <c r="OSQ45" s="656"/>
      <c r="OSR45" s="658"/>
      <c r="OSS45" s="656"/>
      <c r="OST45" s="658"/>
      <c r="OSW45" s="288"/>
      <c r="OSX45" s="312"/>
      <c r="OSY45" s="482"/>
      <c r="OSZ45" s="312"/>
      <c r="OTA45" s="656"/>
      <c r="OTB45" s="657"/>
      <c r="OTC45" s="656"/>
      <c r="OTD45" s="657"/>
      <c r="OTE45" s="656"/>
      <c r="OTF45" s="658"/>
      <c r="OTG45" s="656"/>
      <c r="OTH45" s="658"/>
      <c r="OTK45" s="288"/>
      <c r="OTL45" s="312"/>
      <c r="OTM45" s="482"/>
      <c r="OTN45" s="312"/>
      <c r="OTO45" s="656"/>
      <c r="OTP45" s="657"/>
      <c r="OTQ45" s="656"/>
      <c r="OTR45" s="657"/>
      <c r="OTS45" s="656"/>
      <c r="OTT45" s="658"/>
      <c r="OTU45" s="656"/>
      <c r="OTV45" s="658"/>
      <c r="OTY45" s="288"/>
      <c r="OTZ45" s="312"/>
      <c r="OUA45" s="482"/>
      <c r="OUB45" s="312"/>
      <c r="OUC45" s="656"/>
      <c r="OUD45" s="657"/>
      <c r="OUE45" s="656"/>
      <c r="OUF45" s="657"/>
      <c r="OUG45" s="656"/>
      <c r="OUH45" s="658"/>
      <c r="OUI45" s="656"/>
      <c r="OUJ45" s="658"/>
      <c r="OUM45" s="288"/>
      <c r="OUN45" s="312"/>
      <c r="OUO45" s="482"/>
      <c r="OUP45" s="312"/>
      <c r="OUQ45" s="656"/>
      <c r="OUR45" s="657"/>
      <c r="OUS45" s="656"/>
      <c r="OUT45" s="657"/>
      <c r="OUU45" s="656"/>
      <c r="OUV45" s="658"/>
      <c r="OUW45" s="656"/>
      <c r="OUX45" s="658"/>
      <c r="OVA45" s="288"/>
      <c r="OVB45" s="312"/>
      <c r="OVC45" s="482"/>
      <c r="OVD45" s="312"/>
      <c r="OVE45" s="656"/>
      <c r="OVF45" s="657"/>
      <c r="OVG45" s="656"/>
      <c r="OVH45" s="657"/>
      <c r="OVI45" s="656"/>
      <c r="OVJ45" s="658"/>
      <c r="OVK45" s="656"/>
      <c r="OVL45" s="658"/>
      <c r="OVO45" s="288"/>
      <c r="OVP45" s="312"/>
      <c r="OVQ45" s="482"/>
      <c r="OVR45" s="312"/>
      <c r="OVS45" s="656"/>
      <c r="OVT45" s="657"/>
      <c r="OVU45" s="656"/>
      <c r="OVV45" s="657"/>
      <c r="OVW45" s="656"/>
      <c r="OVX45" s="658"/>
      <c r="OVY45" s="656"/>
      <c r="OVZ45" s="658"/>
      <c r="OWC45" s="288"/>
      <c r="OWD45" s="312"/>
      <c r="OWE45" s="482"/>
      <c r="OWF45" s="312"/>
      <c r="OWG45" s="656"/>
      <c r="OWH45" s="657"/>
      <c r="OWI45" s="656"/>
      <c r="OWJ45" s="657"/>
      <c r="OWK45" s="656"/>
      <c r="OWL45" s="658"/>
      <c r="OWM45" s="656"/>
      <c r="OWN45" s="658"/>
      <c r="OWQ45" s="288"/>
      <c r="OWR45" s="312"/>
      <c r="OWS45" s="482"/>
      <c r="OWT45" s="312"/>
      <c r="OWU45" s="656"/>
      <c r="OWV45" s="657"/>
      <c r="OWW45" s="656"/>
      <c r="OWX45" s="657"/>
      <c r="OWY45" s="656"/>
      <c r="OWZ45" s="658"/>
      <c r="OXA45" s="656"/>
      <c r="OXB45" s="658"/>
      <c r="OXE45" s="288"/>
      <c r="OXF45" s="312"/>
      <c r="OXG45" s="482"/>
      <c r="OXH45" s="312"/>
      <c r="OXI45" s="656"/>
      <c r="OXJ45" s="657"/>
      <c r="OXK45" s="656"/>
      <c r="OXL45" s="657"/>
      <c r="OXM45" s="656"/>
      <c r="OXN45" s="658"/>
      <c r="OXO45" s="656"/>
      <c r="OXP45" s="658"/>
      <c r="OXS45" s="288"/>
      <c r="OXT45" s="312"/>
      <c r="OXU45" s="482"/>
      <c r="OXV45" s="312"/>
      <c r="OXW45" s="656"/>
      <c r="OXX45" s="657"/>
      <c r="OXY45" s="656"/>
      <c r="OXZ45" s="657"/>
      <c r="OYA45" s="656"/>
      <c r="OYB45" s="658"/>
      <c r="OYC45" s="656"/>
      <c r="OYD45" s="658"/>
      <c r="OYG45" s="288"/>
      <c r="OYH45" s="312"/>
      <c r="OYI45" s="482"/>
      <c r="OYJ45" s="312"/>
      <c r="OYK45" s="656"/>
      <c r="OYL45" s="657"/>
      <c r="OYM45" s="656"/>
      <c r="OYN45" s="657"/>
      <c r="OYO45" s="656"/>
      <c r="OYP45" s="658"/>
      <c r="OYQ45" s="656"/>
      <c r="OYR45" s="658"/>
      <c r="OYU45" s="288"/>
      <c r="OYV45" s="312"/>
      <c r="OYW45" s="482"/>
      <c r="OYX45" s="312"/>
      <c r="OYY45" s="656"/>
      <c r="OYZ45" s="657"/>
      <c r="OZA45" s="656"/>
      <c r="OZB45" s="657"/>
      <c r="OZC45" s="656"/>
      <c r="OZD45" s="658"/>
      <c r="OZE45" s="656"/>
      <c r="OZF45" s="658"/>
      <c r="OZI45" s="288"/>
      <c r="OZJ45" s="312"/>
      <c r="OZK45" s="482"/>
      <c r="OZL45" s="312"/>
      <c r="OZM45" s="656"/>
      <c r="OZN45" s="657"/>
      <c r="OZO45" s="656"/>
      <c r="OZP45" s="657"/>
      <c r="OZQ45" s="656"/>
      <c r="OZR45" s="658"/>
      <c r="OZS45" s="656"/>
      <c r="OZT45" s="658"/>
      <c r="OZW45" s="288"/>
      <c r="OZX45" s="312"/>
      <c r="OZY45" s="482"/>
      <c r="OZZ45" s="312"/>
      <c r="PAA45" s="656"/>
      <c r="PAB45" s="657"/>
      <c r="PAC45" s="656"/>
      <c r="PAD45" s="657"/>
      <c r="PAE45" s="656"/>
      <c r="PAF45" s="658"/>
      <c r="PAG45" s="656"/>
      <c r="PAH45" s="658"/>
      <c r="PAK45" s="288"/>
      <c r="PAL45" s="312"/>
      <c r="PAM45" s="482"/>
      <c r="PAN45" s="312"/>
      <c r="PAO45" s="656"/>
      <c r="PAP45" s="657"/>
      <c r="PAQ45" s="656"/>
      <c r="PAR45" s="657"/>
      <c r="PAS45" s="656"/>
      <c r="PAT45" s="658"/>
      <c r="PAU45" s="656"/>
      <c r="PAV45" s="658"/>
      <c r="PAY45" s="288"/>
      <c r="PAZ45" s="312"/>
      <c r="PBA45" s="482"/>
      <c r="PBB45" s="312"/>
      <c r="PBC45" s="656"/>
      <c r="PBD45" s="657"/>
      <c r="PBE45" s="656"/>
      <c r="PBF45" s="657"/>
      <c r="PBG45" s="656"/>
      <c r="PBH45" s="658"/>
      <c r="PBI45" s="656"/>
      <c r="PBJ45" s="658"/>
      <c r="PBM45" s="288"/>
      <c r="PBN45" s="312"/>
      <c r="PBO45" s="482"/>
      <c r="PBP45" s="312"/>
      <c r="PBQ45" s="656"/>
      <c r="PBR45" s="657"/>
      <c r="PBS45" s="656"/>
      <c r="PBT45" s="657"/>
      <c r="PBU45" s="656"/>
      <c r="PBV45" s="658"/>
      <c r="PBW45" s="656"/>
      <c r="PBX45" s="658"/>
      <c r="PCA45" s="288"/>
      <c r="PCB45" s="312"/>
      <c r="PCC45" s="482"/>
      <c r="PCD45" s="312"/>
      <c r="PCE45" s="656"/>
      <c r="PCF45" s="657"/>
      <c r="PCG45" s="656"/>
      <c r="PCH45" s="657"/>
      <c r="PCI45" s="656"/>
      <c r="PCJ45" s="658"/>
      <c r="PCK45" s="656"/>
      <c r="PCL45" s="658"/>
      <c r="PCO45" s="288"/>
      <c r="PCP45" s="312"/>
      <c r="PCQ45" s="482"/>
      <c r="PCR45" s="312"/>
      <c r="PCS45" s="656"/>
      <c r="PCT45" s="657"/>
      <c r="PCU45" s="656"/>
      <c r="PCV45" s="657"/>
      <c r="PCW45" s="656"/>
      <c r="PCX45" s="658"/>
      <c r="PCY45" s="656"/>
      <c r="PCZ45" s="658"/>
      <c r="PDC45" s="288"/>
      <c r="PDD45" s="312"/>
      <c r="PDE45" s="482"/>
      <c r="PDF45" s="312"/>
      <c r="PDG45" s="656"/>
      <c r="PDH45" s="657"/>
      <c r="PDI45" s="656"/>
      <c r="PDJ45" s="657"/>
      <c r="PDK45" s="656"/>
      <c r="PDL45" s="658"/>
      <c r="PDM45" s="656"/>
      <c r="PDN45" s="658"/>
      <c r="PDQ45" s="288"/>
      <c r="PDR45" s="312"/>
      <c r="PDS45" s="482"/>
      <c r="PDT45" s="312"/>
      <c r="PDU45" s="656"/>
      <c r="PDV45" s="657"/>
      <c r="PDW45" s="656"/>
      <c r="PDX45" s="657"/>
      <c r="PDY45" s="656"/>
      <c r="PDZ45" s="658"/>
      <c r="PEA45" s="656"/>
      <c r="PEB45" s="658"/>
      <c r="PEE45" s="288"/>
      <c r="PEF45" s="312"/>
      <c r="PEG45" s="482"/>
      <c r="PEH45" s="312"/>
      <c r="PEI45" s="656"/>
      <c r="PEJ45" s="657"/>
      <c r="PEK45" s="656"/>
      <c r="PEL45" s="657"/>
      <c r="PEM45" s="656"/>
      <c r="PEN45" s="658"/>
      <c r="PEO45" s="656"/>
      <c r="PEP45" s="658"/>
      <c r="PES45" s="288"/>
      <c r="PET45" s="312"/>
      <c r="PEU45" s="482"/>
      <c r="PEV45" s="312"/>
      <c r="PEW45" s="656"/>
      <c r="PEX45" s="657"/>
      <c r="PEY45" s="656"/>
      <c r="PEZ45" s="657"/>
      <c r="PFA45" s="656"/>
      <c r="PFB45" s="658"/>
      <c r="PFC45" s="656"/>
      <c r="PFD45" s="658"/>
      <c r="PFG45" s="288"/>
      <c r="PFH45" s="312"/>
      <c r="PFI45" s="482"/>
      <c r="PFJ45" s="312"/>
      <c r="PFK45" s="656"/>
      <c r="PFL45" s="657"/>
      <c r="PFM45" s="656"/>
      <c r="PFN45" s="657"/>
      <c r="PFO45" s="656"/>
      <c r="PFP45" s="658"/>
      <c r="PFQ45" s="656"/>
      <c r="PFR45" s="658"/>
      <c r="PFU45" s="288"/>
      <c r="PFV45" s="312"/>
      <c r="PFW45" s="482"/>
      <c r="PFX45" s="312"/>
      <c r="PFY45" s="656"/>
      <c r="PFZ45" s="657"/>
      <c r="PGA45" s="656"/>
      <c r="PGB45" s="657"/>
      <c r="PGC45" s="656"/>
      <c r="PGD45" s="658"/>
      <c r="PGE45" s="656"/>
      <c r="PGF45" s="658"/>
      <c r="PGI45" s="288"/>
      <c r="PGJ45" s="312"/>
      <c r="PGK45" s="482"/>
      <c r="PGL45" s="312"/>
      <c r="PGM45" s="656"/>
      <c r="PGN45" s="657"/>
      <c r="PGO45" s="656"/>
      <c r="PGP45" s="657"/>
      <c r="PGQ45" s="656"/>
      <c r="PGR45" s="658"/>
      <c r="PGS45" s="656"/>
      <c r="PGT45" s="658"/>
      <c r="PGW45" s="288"/>
      <c r="PGX45" s="312"/>
      <c r="PGY45" s="482"/>
      <c r="PGZ45" s="312"/>
      <c r="PHA45" s="656"/>
      <c r="PHB45" s="657"/>
      <c r="PHC45" s="656"/>
      <c r="PHD45" s="657"/>
      <c r="PHE45" s="656"/>
      <c r="PHF45" s="658"/>
      <c r="PHG45" s="656"/>
      <c r="PHH45" s="658"/>
      <c r="PHK45" s="288"/>
      <c r="PHL45" s="312"/>
      <c r="PHM45" s="482"/>
      <c r="PHN45" s="312"/>
      <c r="PHO45" s="656"/>
      <c r="PHP45" s="657"/>
      <c r="PHQ45" s="656"/>
      <c r="PHR45" s="657"/>
      <c r="PHS45" s="656"/>
      <c r="PHT45" s="658"/>
      <c r="PHU45" s="656"/>
      <c r="PHV45" s="658"/>
      <c r="PHY45" s="288"/>
      <c r="PHZ45" s="312"/>
      <c r="PIA45" s="482"/>
      <c r="PIB45" s="312"/>
      <c r="PIC45" s="656"/>
      <c r="PID45" s="657"/>
      <c r="PIE45" s="656"/>
      <c r="PIF45" s="657"/>
      <c r="PIG45" s="656"/>
      <c r="PIH45" s="658"/>
      <c r="PII45" s="656"/>
      <c r="PIJ45" s="658"/>
      <c r="PIM45" s="288"/>
      <c r="PIN45" s="312"/>
      <c r="PIO45" s="482"/>
      <c r="PIP45" s="312"/>
      <c r="PIQ45" s="656"/>
      <c r="PIR45" s="657"/>
      <c r="PIS45" s="656"/>
      <c r="PIT45" s="657"/>
      <c r="PIU45" s="656"/>
      <c r="PIV45" s="658"/>
      <c r="PIW45" s="656"/>
      <c r="PIX45" s="658"/>
      <c r="PJA45" s="288"/>
      <c r="PJB45" s="312"/>
      <c r="PJC45" s="482"/>
      <c r="PJD45" s="312"/>
      <c r="PJE45" s="656"/>
      <c r="PJF45" s="657"/>
      <c r="PJG45" s="656"/>
      <c r="PJH45" s="657"/>
      <c r="PJI45" s="656"/>
      <c r="PJJ45" s="658"/>
      <c r="PJK45" s="656"/>
      <c r="PJL45" s="658"/>
      <c r="PJO45" s="288"/>
      <c r="PJP45" s="312"/>
      <c r="PJQ45" s="482"/>
      <c r="PJR45" s="312"/>
      <c r="PJS45" s="656"/>
      <c r="PJT45" s="657"/>
      <c r="PJU45" s="656"/>
      <c r="PJV45" s="657"/>
      <c r="PJW45" s="656"/>
      <c r="PJX45" s="658"/>
      <c r="PJY45" s="656"/>
      <c r="PJZ45" s="658"/>
      <c r="PKC45" s="288"/>
      <c r="PKD45" s="312"/>
      <c r="PKE45" s="482"/>
      <c r="PKF45" s="312"/>
      <c r="PKG45" s="656"/>
      <c r="PKH45" s="657"/>
      <c r="PKI45" s="656"/>
      <c r="PKJ45" s="657"/>
      <c r="PKK45" s="656"/>
      <c r="PKL45" s="658"/>
      <c r="PKM45" s="656"/>
      <c r="PKN45" s="658"/>
      <c r="PKQ45" s="288"/>
      <c r="PKR45" s="312"/>
      <c r="PKS45" s="482"/>
      <c r="PKT45" s="312"/>
      <c r="PKU45" s="656"/>
      <c r="PKV45" s="657"/>
      <c r="PKW45" s="656"/>
      <c r="PKX45" s="657"/>
      <c r="PKY45" s="656"/>
      <c r="PKZ45" s="658"/>
      <c r="PLA45" s="656"/>
      <c r="PLB45" s="658"/>
      <c r="PLE45" s="288"/>
      <c r="PLF45" s="312"/>
      <c r="PLG45" s="482"/>
      <c r="PLH45" s="312"/>
      <c r="PLI45" s="656"/>
      <c r="PLJ45" s="657"/>
      <c r="PLK45" s="656"/>
      <c r="PLL45" s="657"/>
      <c r="PLM45" s="656"/>
      <c r="PLN45" s="658"/>
      <c r="PLO45" s="656"/>
      <c r="PLP45" s="658"/>
      <c r="PLS45" s="288"/>
      <c r="PLT45" s="312"/>
      <c r="PLU45" s="482"/>
      <c r="PLV45" s="312"/>
      <c r="PLW45" s="656"/>
      <c r="PLX45" s="657"/>
      <c r="PLY45" s="656"/>
      <c r="PLZ45" s="657"/>
      <c r="PMA45" s="656"/>
      <c r="PMB45" s="658"/>
      <c r="PMC45" s="656"/>
      <c r="PMD45" s="658"/>
      <c r="PMG45" s="288"/>
      <c r="PMH45" s="312"/>
      <c r="PMI45" s="482"/>
      <c r="PMJ45" s="312"/>
      <c r="PMK45" s="656"/>
      <c r="PML45" s="657"/>
      <c r="PMM45" s="656"/>
      <c r="PMN45" s="657"/>
      <c r="PMO45" s="656"/>
      <c r="PMP45" s="658"/>
      <c r="PMQ45" s="656"/>
      <c r="PMR45" s="658"/>
      <c r="PMU45" s="288"/>
      <c r="PMV45" s="312"/>
      <c r="PMW45" s="482"/>
      <c r="PMX45" s="312"/>
      <c r="PMY45" s="656"/>
      <c r="PMZ45" s="657"/>
      <c r="PNA45" s="656"/>
      <c r="PNB45" s="657"/>
      <c r="PNC45" s="656"/>
      <c r="PND45" s="658"/>
      <c r="PNE45" s="656"/>
      <c r="PNF45" s="658"/>
      <c r="PNI45" s="288"/>
      <c r="PNJ45" s="312"/>
      <c r="PNK45" s="482"/>
      <c r="PNL45" s="312"/>
      <c r="PNM45" s="656"/>
      <c r="PNN45" s="657"/>
      <c r="PNO45" s="656"/>
      <c r="PNP45" s="657"/>
      <c r="PNQ45" s="656"/>
      <c r="PNR45" s="658"/>
      <c r="PNS45" s="656"/>
      <c r="PNT45" s="658"/>
      <c r="PNW45" s="288"/>
      <c r="PNX45" s="312"/>
      <c r="PNY45" s="482"/>
      <c r="PNZ45" s="312"/>
      <c r="POA45" s="656"/>
      <c r="POB45" s="657"/>
      <c r="POC45" s="656"/>
      <c r="POD45" s="657"/>
      <c r="POE45" s="656"/>
      <c r="POF45" s="658"/>
      <c r="POG45" s="656"/>
      <c r="POH45" s="658"/>
      <c r="POK45" s="288"/>
      <c r="POL45" s="312"/>
      <c r="POM45" s="482"/>
      <c r="PON45" s="312"/>
      <c r="POO45" s="656"/>
      <c r="POP45" s="657"/>
      <c r="POQ45" s="656"/>
      <c r="POR45" s="657"/>
      <c r="POS45" s="656"/>
      <c r="POT45" s="658"/>
      <c r="POU45" s="656"/>
      <c r="POV45" s="658"/>
      <c r="POY45" s="288"/>
      <c r="POZ45" s="312"/>
      <c r="PPA45" s="482"/>
      <c r="PPB45" s="312"/>
      <c r="PPC45" s="656"/>
      <c r="PPD45" s="657"/>
      <c r="PPE45" s="656"/>
      <c r="PPF45" s="657"/>
      <c r="PPG45" s="656"/>
      <c r="PPH45" s="658"/>
      <c r="PPI45" s="656"/>
      <c r="PPJ45" s="658"/>
      <c r="PPM45" s="288"/>
      <c r="PPN45" s="312"/>
      <c r="PPO45" s="482"/>
      <c r="PPP45" s="312"/>
      <c r="PPQ45" s="656"/>
      <c r="PPR45" s="657"/>
      <c r="PPS45" s="656"/>
      <c r="PPT45" s="657"/>
      <c r="PPU45" s="656"/>
      <c r="PPV45" s="658"/>
      <c r="PPW45" s="656"/>
      <c r="PPX45" s="658"/>
      <c r="PQA45" s="288"/>
      <c r="PQB45" s="312"/>
      <c r="PQC45" s="482"/>
      <c r="PQD45" s="312"/>
      <c r="PQE45" s="656"/>
      <c r="PQF45" s="657"/>
      <c r="PQG45" s="656"/>
      <c r="PQH45" s="657"/>
      <c r="PQI45" s="656"/>
      <c r="PQJ45" s="658"/>
      <c r="PQK45" s="656"/>
      <c r="PQL45" s="658"/>
      <c r="PQO45" s="288"/>
      <c r="PQP45" s="312"/>
      <c r="PQQ45" s="482"/>
      <c r="PQR45" s="312"/>
      <c r="PQS45" s="656"/>
      <c r="PQT45" s="657"/>
      <c r="PQU45" s="656"/>
      <c r="PQV45" s="657"/>
      <c r="PQW45" s="656"/>
      <c r="PQX45" s="658"/>
      <c r="PQY45" s="656"/>
      <c r="PQZ45" s="658"/>
      <c r="PRC45" s="288"/>
      <c r="PRD45" s="312"/>
      <c r="PRE45" s="482"/>
      <c r="PRF45" s="312"/>
      <c r="PRG45" s="656"/>
      <c r="PRH45" s="657"/>
      <c r="PRI45" s="656"/>
      <c r="PRJ45" s="657"/>
      <c r="PRK45" s="656"/>
      <c r="PRL45" s="658"/>
      <c r="PRM45" s="656"/>
      <c r="PRN45" s="658"/>
      <c r="PRQ45" s="288"/>
      <c r="PRR45" s="312"/>
      <c r="PRS45" s="482"/>
      <c r="PRT45" s="312"/>
      <c r="PRU45" s="656"/>
      <c r="PRV45" s="657"/>
      <c r="PRW45" s="656"/>
      <c r="PRX45" s="657"/>
      <c r="PRY45" s="656"/>
      <c r="PRZ45" s="658"/>
      <c r="PSA45" s="656"/>
      <c r="PSB45" s="658"/>
      <c r="PSE45" s="288"/>
      <c r="PSF45" s="312"/>
      <c r="PSG45" s="482"/>
      <c r="PSH45" s="312"/>
      <c r="PSI45" s="656"/>
      <c r="PSJ45" s="657"/>
      <c r="PSK45" s="656"/>
      <c r="PSL45" s="657"/>
      <c r="PSM45" s="656"/>
      <c r="PSN45" s="658"/>
      <c r="PSO45" s="656"/>
      <c r="PSP45" s="658"/>
      <c r="PSS45" s="288"/>
      <c r="PST45" s="312"/>
      <c r="PSU45" s="482"/>
      <c r="PSV45" s="312"/>
      <c r="PSW45" s="656"/>
      <c r="PSX45" s="657"/>
      <c r="PSY45" s="656"/>
      <c r="PSZ45" s="657"/>
      <c r="PTA45" s="656"/>
      <c r="PTB45" s="658"/>
      <c r="PTC45" s="656"/>
      <c r="PTD45" s="658"/>
      <c r="PTG45" s="288"/>
      <c r="PTH45" s="312"/>
      <c r="PTI45" s="482"/>
      <c r="PTJ45" s="312"/>
      <c r="PTK45" s="656"/>
      <c r="PTL45" s="657"/>
      <c r="PTM45" s="656"/>
      <c r="PTN45" s="657"/>
      <c r="PTO45" s="656"/>
      <c r="PTP45" s="658"/>
      <c r="PTQ45" s="656"/>
      <c r="PTR45" s="658"/>
      <c r="PTU45" s="288"/>
      <c r="PTV45" s="312"/>
      <c r="PTW45" s="482"/>
      <c r="PTX45" s="312"/>
      <c r="PTY45" s="656"/>
      <c r="PTZ45" s="657"/>
      <c r="PUA45" s="656"/>
      <c r="PUB45" s="657"/>
      <c r="PUC45" s="656"/>
      <c r="PUD45" s="658"/>
      <c r="PUE45" s="656"/>
      <c r="PUF45" s="658"/>
      <c r="PUI45" s="288"/>
      <c r="PUJ45" s="312"/>
      <c r="PUK45" s="482"/>
      <c r="PUL45" s="312"/>
      <c r="PUM45" s="656"/>
      <c r="PUN45" s="657"/>
      <c r="PUO45" s="656"/>
      <c r="PUP45" s="657"/>
      <c r="PUQ45" s="656"/>
      <c r="PUR45" s="658"/>
      <c r="PUS45" s="656"/>
      <c r="PUT45" s="658"/>
      <c r="PUW45" s="288"/>
      <c r="PUX45" s="312"/>
      <c r="PUY45" s="482"/>
      <c r="PUZ45" s="312"/>
      <c r="PVA45" s="656"/>
      <c r="PVB45" s="657"/>
      <c r="PVC45" s="656"/>
      <c r="PVD45" s="657"/>
      <c r="PVE45" s="656"/>
      <c r="PVF45" s="658"/>
      <c r="PVG45" s="656"/>
      <c r="PVH45" s="658"/>
      <c r="PVK45" s="288"/>
      <c r="PVL45" s="312"/>
      <c r="PVM45" s="482"/>
      <c r="PVN45" s="312"/>
      <c r="PVO45" s="656"/>
      <c r="PVP45" s="657"/>
      <c r="PVQ45" s="656"/>
      <c r="PVR45" s="657"/>
      <c r="PVS45" s="656"/>
      <c r="PVT45" s="658"/>
      <c r="PVU45" s="656"/>
      <c r="PVV45" s="658"/>
      <c r="PVY45" s="288"/>
      <c r="PVZ45" s="312"/>
      <c r="PWA45" s="482"/>
      <c r="PWB45" s="312"/>
      <c r="PWC45" s="656"/>
      <c r="PWD45" s="657"/>
      <c r="PWE45" s="656"/>
      <c r="PWF45" s="657"/>
      <c r="PWG45" s="656"/>
      <c r="PWH45" s="658"/>
      <c r="PWI45" s="656"/>
      <c r="PWJ45" s="658"/>
      <c r="PWM45" s="288"/>
      <c r="PWN45" s="312"/>
      <c r="PWO45" s="482"/>
      <c r="PWP45" s="312"/>
      <c r="PWQ45" s="656"/>
      <c r="PWR45" s="657"/>
      <c r="PWS45" s="656"/>
      <c r="PWT45" s="657"/>
      <c r="PWU45" s="656"/>
      <c r="PWV45" s="658"/>
      <c r="PWW45" s="656"/>
      <c r="PWX45" s="658"/>
      <c r="PXA45" s="288"/>
      <c r="PXB45" s="312"/>
      <c r="PXC45" s="482"/>
      <c r="PXD45" s="312"/>
      <c r="PXE45" s="656"/>
      <c r="PXF45" s="657"/>
      <c r="PXG45" s="656"/>
      <c r="PXH45" s="657"/>
      <c r="PXI45" s="656"/>
      <c r="PXJ45" s="658"/>
      <c r="PXK45" s="656"/>
      <c r="PXL45" s="658"/>
      <c r="PXO45" s="288"/>
      <c r="PXP45" s="312"/>
      <c r="PXQ45" s="482"/>
      <c r="PXR45" s="312"/>
      <c r="PXS45" s="656"/>
      <c r="PXT45" s="657"/>
      <c r="PXU45" s="656"/>
      <c r="PXV45" s="657"/>
      <c r="PXW45" s="656"/>
      <c r="PXX45" s="658"/>
      <c r="PXY45" s="656"/>
      <c r="PXZ45" s="658"/>
      <c r="PYC45" s="288"/>
      <c r="PYD45" s="312"/>
      <c r="PYE45" s="482"/>
      <c r="PYF45" s="312"/>
      <c r="PYG45" s="656"/>
      <c r="PYH45" s="657"/>
      <c r="PYI45" s="656"/>
      <c r="PYJ45" s="657"/>
      <c r="PYK45" s="656"/>
      <c r="PYL45" s="658"/>
      <c r="PYM45" s="656"/>
      <c r="PYN45" s="658"/>
      <c r="PYQ45" s="288"/>
      <c r="PYR45" s="312"/>
      <c r="PYS45" s="482"/>
      <c r="PYT45" s="312"/>
      <c r="PYU45" s="656"/>
      <c r="PYV45" s="657"/>
      <c r="PYW45" s="656"/>
      <c r="PYX45" s="657"/>
      <c r="PYY45" s="656"/>
      <c r="PYZ45" s="658"/>
      <c r="PZA45" s="656"/>
      <c r="PZB45" s="658"/>
      <c r="PZE45" s="288"/>
      <c r="PZF45" s="312"/>
      <c r="PZG45" s="482"/>
      <c r="PZH45" s="312"/>
      <c r="PZI45" s="656"/>
      <c r="PZJ45" s="657"/>
      <c r="PZK45" s="656"/>
      <c r="PZL45" s="657"/>
      <c r="PZM45" s="656"/>
      <c r="PZN45" s="658"/>
      <c r="PZO45" s="656"/>
      <c r="PZP45" s="658"/>
      <c r="PZS45" s="288"/>
      <c r="PZT45" s="312"/>
      <c r="PZU45" s="482"/>
      <c r="PZV45" s="312"/>
      <c r="PZW45" s="656"/>
      <c r="PZX45" s="657"/>
      <c r="PZY45" s="656"/>
      <c r="PZZ45" s="657"/>
      <c r="QAA45" s="656"/>
      <c r="QAB45" s="658"/>
      <c r="QAC45" s="656"/>
      <c r="QAD45" s="658"/>
      <c r="QAG45" s="288"/>
      <c r="QAH45" s="312"/>
      <c r="QAI45" s="482"/>
      <c r="QAJ45" s="312"/>
      <c r="QAK45" s="656"/>
      <c r="QAL45" s="657"/>
      <c r="QAM45" s="656"/>
      <c r="QAN45" s="657"/>
      <c r="QAO45" s="656"/>
      <c r="QAP45" s="658"/>
      <c r="QAQ45" s="656"/>
      <c r="QAR45" s="658"/>
      <c r="QAU45" s="288"/>
      <c r="QAV45" s="312"/>
      <c r="QAW45" s="482"/>
      <c r="QAX45" s="312"/>
      <c r="QAY45" s="656"/>
      <c r="QAZ45" s="657"/>
      <c r="QBA45" s="656"/>
      <c r="QBB45" s="657"/>
      <c r="QBC45" s="656"/>
      <c r="QBD45" s="658"/>
      <c r="QBE45" s="656"/>
      <c r="QBF45" s="658"/>
      <c r="QBI45" s="288"/>
      <c r="QBJ45" s="312"/>
      <c r="QBK45" s="482"/>
      <c r="QBL45" s="312"/>
      <c r="QBM45" s="656"/>
      <c r="QBN45" s="657"/>
      <c r="QBO45" s="656"/>
      <c r="QBP45" s="657"/>
      <c r="QBQ45" s="656"/>
      <c r="QBR45" s="658"/>
      <c r="QBS45" s="656"/>
      <c r="QBT45" s="658"/>
      <c r="QBW45" s="288"/>
      <c r="QBX45" s="312"/>
      <c r="QBY45" s="482"/>
      <c r="QBZ45" s="312"/>
      <c r="QCA45" s="656"/>
      <c r="QCB45" s="657"/>
      <c r="QCC45" s="656"/>
      <c r="QCD45" s="657"/>
      <c r="QCE45" s="656"/>
      <c r="QCF45" s="658"/>
      <c r="QCG45" s="656"/>
      <c r="QCH45" s="658"/>
      <c r="QCK45" s="288"/>
      <c r="QCL45" s="312"/>
      <c r="QCM45" s="482"/>
      <c r="QCN45" s="312"/>
      <c r="QCO45" s="656"/>
      <c r="QCP45" s="657"/>
      <c r="QCQ45" s="656"/>
      <c r="QCR45" s="657"/>
      <c r="QCS45" s="656"/>
      <c r="QCT45" s="658"/>
      <c r="QCU45" s="656"/>
      <c r="QCV45" s="658"/>
      <c r="QCY45" s="288"/>
      <c r="QCZ45" s="312"/>
      <c r="QDA45" s="482"/>
      <c r="QDB45" s="312"/>
      <c r="QDC45" s="656"/>
      <c r="QDD45" s="657"/>
      <c r="QDE45" s="656"/>
      <c r="QDF45" s="657"/>
      <c r="QDG45" s="656"/>
      <c r="QDH45" s="658"/>
      <c r="QDI45" s="656"/>
      <c r="QDJ45" s="658"/>
      <c r="QDM45" s="288"/>
      <c r="QDN45" s="312"/>
      <c r="QDO45" s="482"/>
      <c r="QDP45" s="312"/>
      <c r="QDQ45" s="656"/>
      <c r="QDR45" s="657"/>
      <c r="QDS45" s="656"/>
      <c r="QDT45" s="657"/>
      <c r="QDU45" s="656"/>
      <c r="QDV45" s="658"/>
      <c r="QDW45" s="656"/>
      <c r="QDX45" s="658"/>
      <c r="QEA45" s="288"/>
      <c r="QEB45" s="312"/>
      <c r="QEC45" s="482"/>
      <c r="QED45" s="312"/>
      <c r="QEE45" s="656"/>
      <c r="QEF45" s="657"/>
      <c r="QEG45" s="656"/>
      <c r="QEH45" s="657"/>
      <c r="QEI45" s="656"/>
      <c r="QEJ45" s="658"/>
      <c r="QEK45" s="656"/>
      <c r="QEL45" s="658"/>
      <c r="QEO45" s="288"/>
      <c r="QEP45" s="312"/>
      <c r="QEQ45" s="482"/>
      <c r="QER45" s="312"/>
      <c r="QES45" s="656"/>
      <c r="QET45" s="657"/>
      <c r="QEU45" s="656"/>
      <c r="QEV45" s="657"/>
      <c r="QEW45" s="656"/>
      <c r="QEX45" s="658"/>
      <c r="QEY45" s="656"/>
      <c r="QEZ45" s="658"/>
      <c r="QFC45" s="288"/>
      <c r="QFD45" s="312"/>
      <c r="QFE45" s="482"/>
      <c r="QFF45" s="312"/>
      <c r="QFG45" s="656"/>
      <c r="QFH45" s="657"/>
      <c r="QFI45" s="656"/>
      <c r="QFJ45" s="657"/>
      <c r="QFK45" s="656"/>
      <c r="QFL45" s="658"/>
      <c r="QFM45" s="656"/>
      <c r="QFN45" s="658"/>
      <c r="QFQ45" s="288"/>
      <c r="QFR45" s="312"/>
      <c r="QFS45" s="482"/>
      <c r="QFT45" s="312"/>
      <c r="QFU45" s="656"/>
      <c r="QFV45" s="657"/>
      <c r="QFW45" s="656"/>
      <c r="QFX45" s="657"/>
      <c r="QFY45" s="656"/>
      <c r="QFZ45" s="658"/>
      <c r="QGA45" s="656"/>
      <c r="QGB45" s="658"/>
      <c r="QGE45" s="288"/>
      <c r="QGF45" s="312"/>
      <c r="QGG45" s="482"/>
      <c r="QGH45" s="312"/>
      <c r="QGI45" s="656"/>
      <c r="QGJ45" s="657"/>
      <c r="QGK45" s="656"/>
      <c r="QGL45" s="657"/>
      <c r="QGM45" s="656"/>
      <c r="QGN45" s="658"/>
      <c r="QGO45" s="656"/>
      <c r="QGP45" s="658"/>
      <c r="QGS45" s="288"/>
      <c r="QGT45" s="312"/>
      <c r="QGU45" s="482"/>
      <c r="QGV45" s="312"/>
      <c r="QGW45" s="656"/>
      <c r="QGX45" s="657"/>
      <c r="QGY45" s="656"/>
      <c r="QGZ45" s="657"/>
      <c r="QHA45" s="656"/>
      <c r="QHB45" s="658"/>
      <c r="QHC45" s="656"/>
      <c r="QHD45" s="658"/>
      <c r="QHG45" s="288"/>
      <c r="QHH45" s="312"/>
      <c r="QHI45" s="482"/>
      <c r="QHJ45" s="312"/>
      <c r="QHK45" s="656"/>
      <c r="QHL45" s="657"/>
      <c r="QHM45" s="656"/>
      <c r="QHN45" s="657"/>
      <c r="QHO45" s="656"/>
      <c r="QHP45" s="658"/>
      <c r="QHQ45" s="656"/>
      <c r="QHR45" s="658"/>
      <c r="QHU45" s="288"/>
      <c r="QHV45" s="312"/>
      <c r="QHW45" s="482"/>
      <c r="QHX45" s="312"/>
      <c r="QHY45" s="656"/>
      <c r="QHZ45" s="657"/>
      <c r="QIA45" s="656"/>
      <c r="QIB45" s="657"/>
      <c r="QIC45" s="656"/>
      <c r="QID45" s="658"/>
      <c r="QIE45" s="656"/>
      <c r="QIF45" s="658"/>
      <c r="QII45" s="288"/>
      <c r="QIJ45" s="312"/>
      <c r="QIK45" s="482"/>
      <c r="QIL45" s="312"/>
      <c r="QIM45" s="656"/>
      <c r="QIN45" s="657"/>
      <c r="QIO45" s="656"/>
      <c r="QIP45" s="657"/>
      <c r="QIQ45" s="656"/>
      <c r="QIR45" s="658"/>
      <c r="QIS45" s="656"/>
      <c r="QIT45" s="658"/>
      <c r="QIW45" s="288"/>
      <c r="QIX45" s="312"/>
      <c r="QIY45" s="482"/>
      <c r="QIZ45" s="312"/>
      <c r="QJA45" s="656"/>
      <c r="QJB45" s="657"/>
      <c r="QJC45" s="656"/>
      <c r="QJD45" s="657"/>
      <c r="QJE45" s="656"/>
      <c r="QJF45" s="658"/>
      <c r="QJG45" s="656"/>
      <c r="QJH45" s="658"/>
      <c r="QJK45" s="288"/>
      <c r="QJL45" s="312"/>
      <c r="QJM45" s="482"/>
      <c r="QJN45" s="312"/>
      <c r="QJO45" s="656"/>
      <c r="QJP45" s="657"/>
      <c r="QJQ45" s="656"/>
      <c r="QJR45" s="657"/>
      <c r="QJS45" s="656"/>
      <c r="QJT45" s="658"/>
      <c r="QJU45" s="656"/>
      <c r="QJV45" s="658"/>
      <c r="QJY45" s="288"/>
      <c r="QJZ45" s="312"/>
      <c r="QKA45" s="482"/>
      <c r="QKB45" s="312"/>
      <c r="QKC45" s="656"/>
      <c r="QKD45" s="657"/>
      <c r="QKE45" s="656"/>
      <c r="QKF45" s="657"/>
      <c r="QKG45" s="656"/>
      <c r="QKH45" s="658"/>
      <c r="QKI45" s="656"/>
      <c r="QKJ45" s="658"/>
      <c r="QKM45" s="288"/>
      <c r="QKN45" s="312"/>
      <c r="QKO45" s="482"/>
      <c r="QKP45" s="312"/>
      <c r="QKQ45" s="656"/>
      <c r="QKR45" s="657"/>
      <c r="QKS45" s="656"/>
      <c r="QKT45" s="657"/>
      <c r="QKU45" s="656"/>
      <c r="QKV45" s="658"/>
      <c r="QKW45" s="656"/>
      <c r="QKX45" s="658"/>
      <c r="QLA45" s="288"/>
      <c r="QLB45" s="312"/>
      <c r="QLC45" s="482"/>
      <c r="QLD45" s="312"/>
      <c r="QLE45" s="656"/>
      <c r="QLF45" s="657"/>
      <c r="QLG45" s="656"/>
      <c r="QLH45" s="657"/>
      <c r="QLI45" s="656"/>
      <c r="QLJ45" s="658"/>
      <c r="QLK45" s="656"/>
      <c r="QLL45" s="658"/>
      <c r="QLO45" s="288"/>
      <c r="QLP45" s="312"/>
      <c r="QLQ45" s="482"/>
      <c r="QLR45" s="312"/>
      <c r="QLS45" s="656"/>
      <c r="QLT45" s="657"/>
      <c r="QLU45" s="656"/>
      <c r="QLV45" s="657"/>
      <c r="QLW45" s="656"/>
      <c r="QLX45" s="658"/>
      <c r="QLY45" s="656"/>
      <c r="QLZ45" s="658"/>
      <c r="QMC45" s="288"/>
      <c r="QMD45" s="312"/>
      <c r="QME45" s="482"/>
      <c r="QMF45" s="312"/>
      <c r="QMG45" s="656"/>
      <c r="QMH45" s="657"/>
      <c r="QMI45" s="656"/>
      <c r="QMJ45" s="657"/>
      <c r="QMK45" s="656"/>
      <c r="QML45" s="658"/>
      <c r="QMM45" s="656"/>
      <c r="QMN45" s="658"/>
      <c r="QMQ45" s="288"/>
      <c r="QMR45" s="312"/>
      <c r="QMS45" s="482"/>
      <c r="QMT45" s="312"/>
      <c r="QMU45" s="656"/>
      <c r="QMV45" s="657"/>
      <c r="QMW45" s="656"/>
      <c r="QMX45" s="657"/>
      <c r="QMY45" s="656"/>
      <c r="QMZ45" s="658"/>
      <c r="QNA45" s="656"/>
      <c r="QNB45" s="658"/>
      <c r="QNE45" s="288"/>
      <c r="QNF45" s="312"/>
      <c r="QNG45" s="482"/>
      <c r="QNH45" s="312"/>
      <c r="QNI45" s="656"/>
      <c r="QNJ45" s="657"/>
      <c r="QNK45" s="656"/>
      <c r="QNL45" s="657"/>
      <c r="QNM45" s="656"/>
      <c r="QNN45" s="658"/>
      <c r="QNO45" s="656"/>
      <c r="QNP45" s="658"/>
      <c r="QNS45" s="288"/>
      <c r="QNT45" s="312"/>
      <c r="QNU45" s="482"/>
      <c r="QNV45" s="312"/>
      <c r="QNW45" s="656"/>
      <c r="QNX45" s="657"/>
      <c r="QNY45" s="656"/>
      <c r="QNZ45" s="657"/>
      <c r="QOA45" s="656"/>
      <c r="QOB45" s="658"/>
      <c r="QOC45" s="656"/>
      <c r="QOD45" s="658"/>
      <c r="QOG45" s="288"/>
      <c r="QOH45" s="312"/>
      <c r="QOI45" s="482"/>
      <c r="QOJ45" s="312"/>
      <c r="QOK45" s="656"/>
      <c r="QOL45" s="657"/>
      <c r="QOM45" s="656"/>
      <c r="QON45" s="657"/>
      <c r="QOO45" s="656"/>
      <c r="QOP45" s="658"/>
      <c r="QOQ45" s="656"/>
      <c r="QOR45" s="658"/>
      <c r="QOU45" s="288"/>
      <c r="QOV45" s="312"/>
      <c r="QOW45" s="482"/>
      <c r="QOX45" s="312"/>
      <c r="QOY45" s="656"/>
      <c r="QOZ45" s="657"/>
      <c r="QPA45" s="656"/>
      <c r="QPB45" s="657"/>
      <c r="QPC45" s="656"/>
      <c r="QPD45" s="658"/>
      <c r="QPE45" s="656"/>
      <c r="QPF45" s="658"/>
      <c r="QPI45" s="288"/>
      <c r="QPJ45" s="312"/>
      <c r="QPK45" s="482"/>
      <c r="QPL45" s="312"/>
      <c r="QPM45" s="656"/>
      <c r="QPN45" s="657"/>
      <c r="QPO45" s="656"/>
      <c r="QPP45" s="657"/>
      <c r="QPQ45" s="656"/>
      <c r="QPR45" s="658"/>
      <c r="QPS45" s="656"/>
      <c r="QPT45" s="658"/>
      <c r="QPW45" s="288"/>
      <c r="QPX45" s="312"/>
      <c r="QPY45" s="482"/>
      <c r="QPZ45" s="312"/>
      <c r="QQA45" s="656"/>
      <c r="QQB45" s="657"/>
      <c r="QQC45" s="656"/>
      <c r="QQD45" s="657"/>
      <c r="QQE45" s="656"/>
      <c r="QQF45" s="658"/>
      <c r="QQG45" s="656"/>
      <c r="QQH45" s="658"/>
      <c r="QQK45" s="288"/>
      <c r="QQL45" s="312"/>
      <c r="QQM45" s="482"/>
      <c r="QQN45" s="312"/>
      <c r="QQO45" s="656"/>
      <c r="QQP45" s="657"/>
      <c r="QQQ45" s="656"/>
      <c r="QQR45" s="657"/>
      <c r="QQS45" s="656"/>
      <c r="QQT45" s="658"/>
      <c r="QQU45" s="656"/>
      <c r="QQV45" s="658"/>
      <c r="QQY45" s="288"/>
      <c r="QQZ45" s="312"/>
      <c r="QRA45" s="482"/>
      <c r="QRB45" s="312"/>
      <c r="QRC45" s="656"/>
      <c r="QRD45" s="657"/>
      <c r="QRE45" s="656"/>
      <c r="QRF45" s="657"/>
      <c r="QRG45" s="656"/>
      <c r="QRH45" s="658"/>
      <c r="QRI45" s="656"/>
      <c r="QRJ45" s="658"/>
      <c r="QRM45" s="288"/>
      <c r="QRN45" s="312"/>
      <c r="QRO45" s="482"/>
      <c r="QRP45" s="312"/>
      <c r="QRQ45" s="656"/>
      <c r="QRR45" s="657"/>
      <c r="QRS45" s="656"/>
      <c r="QRT45" s="657"/>
      <c r="QRU45" s="656"/>
      <c r="QRV45" s="658"/>
      <c r="QRW45" s="656"/>
      <c r="QRX45" s="658"/>
      <c r="QSA45" s="288"/>
      <c r="QSB45" s="312"/>
      <c r="QSC45" s="482"/>
      <c r="QSD45" s="312"/>
      <c r="QSE45" s="656"/>
      <c r="QSF45" s="657"/>
      <c r="QSG45" s="656"/>
      <c r="QSH45" s="657"/>
      <c r="QSI45" s="656"/>
      <c r="QSJ45" s="658"/>
      <c r="QSK45" s="656"/>
      <c r="QSL45" s="658"/>
      <c r="QSO45" s="288"/>
      <c r="QSP45" s="312"/>
      <c r="QSQ45" s="482"/>
      <c r="QSR45" s="312"/>
      <c r="QSS45" s="656"/>
      <c r="QST45" s="657"/>
      <c r="QSU45" s="656"/>
      <c r="QSV45" s="657"/>
      <c r="QSW45" s="656"/>
      <c r="QSX45" s="658"/>
      <c r="QSY45" s="656"/>
      <c r="QSZ45" s="658"/>
      <c r="QTC45" s="288"/>
      <c r="QTD45" s="312"/>
      <c r="QTE45" s="482"/>
      <c r="QTF45" s="312"/>
      <c r="QTG45" s="656"/>
      <c r="QTH45" s="657"/>
      <c r="QTI45" s="656"/>
      <c r="QTJ45" s="657"/>
      <c r="QTK45" s="656"/>
      <c r="QTL45" s="658"/>
      <c r="QTM45" s="656"/>
      <c r="QTN45" s="658"/>
      <c r="QTQ45" s="288"/>
      <c r="QTR45" s="312"/>
      <c r="QTS45" s="482"/>
      <c r="QTT45" s="312"/>
      <c r="QTU45" s="656"/>
      <c r="QTV45" s="657"/>
      <c r="QTW45" s="656"/>
      <c r="QTX45" s="657"/>
      <c r="QTY45" s="656"/>
      <c r="QTZ45" s="658"/>
      <c r="QUA45" s="656"/>
      <c r="QUB45" s="658"/>
      <c r="QUE45" s="288"/>
      <c r="QUF45" s="312"/>
      <c r="QUG45" s="482"/>
      <c r="QUH45" s="312"/>
      <c r="QUI45" s="656"/>
      <c r="QUJ45" s="657"/>
      <c r="QUK45" s="656"/>
      <c r="QUL45" s="657"/>
      <c r="QUM45" s="656"/>
      <c r="QUN45" s="658"/>
      <c r="QUO45" s="656"/>
      <c r="QUP45" s="658"/>
      <c r="QUS45" s="288"/>
      <c r="QUT45" s="312"/>
      <c r="QUU45" s="482"/>
      <c r="QUV45" s="312"/>
      <c r="QUW45" s="656"/>
      <c r="QUX45" s="657"/>
      <c r="QUY45" s="656"/>
      <c r="QUZ45" s="657"/>
      <c r="QVA45" s="656"/>
      <c r="QVB45" s="658"/>
      <c r="QVC45" s="656"/>
      <c r="QVD45" s="658"/>
      <c r="QVG45" s="288"/>
      <c r="QVH45" s="312"/>
      <c r="QVI45" s="482"/>
      <c r="QVJ45" s="312"/>
      <c r="QVK45" s="656"/>
      <c r="QVL45" s="657"/>
      <c r="QVM45" s="656"/>
      <c r="QVN45" s="657"/>
      <c r="QVO45" s="656"/>
      <c r="QVP45" s="658"/>
      <c r="QVQ45" s="656"/>
      <c r="QVR45" s="658"/>
      <c r="QVU45" s="288"/>
      <c r="QVV45" s="312"/>
      <c r="QVW45" s="482"/>
      <c r="QVX45" s="312"/>
      <c r="QVY45" s="656"/>
      <c r="QVZ45" s="657"/>
      <c r="QWA45" s="656"/>
      <c r="QWB45" s="657"/>
      <c r="QWC45" s="656"/>
      <c r="QWD45" s="658"/>
      <c r="QWE45" s="656"/>
      <c r="QWF45" s="658"/>
      <c r="QWI45" s="288"/>
      <c r="QWJ45" s="312"/>
      <c r="QWK45" s="482"/>
      <c r="QWL45" s="312"/>
      <c r="QWM45" s="656"/>
      <c r="QWN45" s="657"/>
      <c r="QWO45" s="656"/>
      <c r="QWP45" s="657"/>
      <c r="QWQ45" s="656"/>
      <c r="QWR45" s="658"/>
      <c r="QWS45" s="656"/>
      <c r="QWT45" s="658"/>
      <c r="QWW45" s="288"/>
      <c r="QWX45" s="312"/>
      <c r="QWY45" s="482"/>
      <c r="QWZ45" s="312"/>
      <c r="QXA45" s="656"/>
      <c r="QXB45" s="657"/>
      <c r="QXC45" s="656"/>
      <c r="QXD45" s="657"/>
      <c r="QXE45" s="656"/>
      <c r="QXF45" s="658"/>
      <c r="QXG45" s="656"/>
      <c r="QXH45" s="658"/>
      <c r="QXK45" s="288"/>
      <c r="QXL45" s="312"/>
      <c r="QXM45" s="482"/>
      <c r="QXN45" s="312"/>
      <c r="QXO45" s="656"/>
      <c r="QXP45" s="657"/>
      <c r="QXQ45" s="656"/>
      <c r="QXR45" s="657"/>
      <c r="QXS45" s="656"/>
      <c r="QXT45" s="658"/>
      <c r="QXU45" s="656"/>
      <c r="QXV45" s="658"/>
      <c r="QXY45" s="288"/>
      <c r="QXZ45" s="312"/>
      <c r="QYA45" s="482"/>
      <c r="QYB45" s="312"/>
      <c r="QYC45" s="656"/>
      <c r="QYD45" s="657"/>
      <c r="QYE45" s="656"/>
      <c r="QYF45" s="657"/>
      <c r="QYG45" s="656"/>
      <c r="QYH45" s="658"/>
      <c r="QYI45" s="656"/>
      <c r="QYJ45" s="658"/>
      <c r="QYM45" s="288"/>
      <c r="QYN45" s="312"/>
      <c r="QYO45" s="482"/>
      <c r="QYP45" s="312"/>
      <c r="QYQ45" s="656"/>
      <c r="QYR45" s="657"/>
      <c r="QYS45" s="656"/>
      <c r="QYT45" s="657"/>
      <c r="QYU45" s="656"/>
      <c r="QYV45" s="658"/>
      <c r="QYW45" s="656"/>
      <c r="QYX45" s="658"/>
      <c r="QZA45" s="288"/>
      <c r="QZB45" s="312"/>
      <c r="QZC45" s="482"/>
      <c r="QZD45" s="312"/>
      <c r="QZE45" s="656"/>
      <c r="QZF45" s="657"/>
      <c r="QZG45" s="656"/>
      <c r="QZH45" s="657"/>
      <c r="QZI45" s="656"/>
      <c r="QZJ45" s="658"/>
      <c r="QZK45" s="656"/>
      <c r="QZL45" s="658"/>
      <c r="QZO45" s="288"/>
      <c r="QZP45" s="312"/>
      <c r="QZQ45" s="482"/>
      <c r="QZR45" s="312"/>
      <c r="QZS45" s="656"/>
      <c r="QZT45" s="657"/>
      <c r="QZU45" s="656"/>
      <c r="QZV45" s="657"/>
      <c r="QZW45" s="656"/>
      <c r="QZX45" s="658"/>
      <c r="QZY45" s="656"/>
      <c r="QZZ45" s="658"/>
      <c r="RAC45" s="288"/>
      <c r="RAD45" s="312"/>
      <c r="RAE45" s="482"/>
      <c r="RAF45" s="312"/>
      <c r="RAG45" s="656"/>
      <c r="RAH45" s="657"/>
      <c r="RAI45" s="656"/>
      <c r="RAJ45" s="657"/>
      <c r="RAK45" s="656"/>
      <c r="RAL45" s="658"/>
      <c r="RAM45" s="656"/>
      <c r="RAN45" s="658"/>
      <c r="RAQ45" s="288"/>
      <c r="RAR45" s="312"/>
      <c r="RAS45" s="482"/>
      <c r="RAT45" s="312"/>
      <c r="RAU45" s="656"/>
      <c r="RAV45" s="657"/>
      <c r="RAW45" s="656"/>
      <c r="RAX45" s="657"/>
      <c r="RAY45" s="656"/>
      <c r="RAZ45" s="658"/>
      <c r="RBA45" s="656"/>
      <c r="RBB45" s="658"/>
      <c r="RBE45" s="288"/>
      <c r="RBF45" s="312"/>
      <c r="RBG45" s="482"/>
      <c r="RBH45" s="312"/>
      <c r="RBI45" s="656"/>
      <c r="RBJ45" s="657"/>
      <c r="RBK45" s="656"/>
      <c r="RBL45" s="657"/>
      <c r="RBM45" s="656"/>
      <c r="RBN45" s="658"/>
      <c r="RBO45" s="656"/>
      <c r="RBP45" s="658"/>
      <c r="RBS45" s="288"/>
      <c r="RBT45" s="312"/>
      <c r="RBU45" s="482"/>
      <c r="RBV45" s="312"/>
      <c r="RBW45" s="656"/>
      <c r="RBX45" s="657"/>
      <c r="RBY45" s="656"/>
      <c r="RBZ45" s="657"/>
      <c r="RCA45" s="656"/>
      <c r="RCB45" s="658"/>
      <c r="RCC45" s="656"/>
      <c r="RCD45" s="658"/>
      <c r="RCG45" s="288"/>
      <c r="RCH45" s="312"/>
      <c r="RCI45" s="482"/>
      <c r="RCJ45" s="312"/>
      <c r="RCK45" s="656"/>
      <c r="RCL45" s="657"/>
      <c r="RCM45" s="656"/>
      <c r="RCN45" s="657"/>
      <c r="RCO45" s="656"/>
      <c r="RCP45" s="658"/>
      <c r="RCQ45" s="656"/>
      <c r="RCR45" s="658"/>
      <c r="RCU45" s="288"/>
      <c r="RCV45" s="312"/>
      <c r="RCW45" s="482"/>
      <c r="RCX45" s="312"/>
      <c r="RCY45" s="656"/>
      <c r="RCZ45" s="657"/>
      <c r="RDA45" s="656"/>
      <c r="RDB45" s="657"/>
      <c r="RDC45" s="656"/>
      <c r="RDD45" s="658"/>
      <c r="RDE45" s="656"/>
      <c r="RDF45" s="658"/>
      <c r="RDI45" s="288"/>
      <c r="RDJ45" s="312"/>
      <c r="RDK45" s="482"/>
      <c r="RDL45" s="312"/>
      <c r="RDM45" s="656"/>
      <c r="RDN45" s="657"/>
      <c r="RDO45" s="656"/>
      <c r="RDP45" s="657"/>
      <c r="RDQ45" s="656"/>
      <c r="RDR45" s="658"/>
      <c r="RDS45" s="656"/>
      <c r="RDT45" s="658"/>
      <c r="RDW45" s="288"/>
      <c r="RDX45" s="312"/>
      <c r="RDY45" s="482"/>
      <c r="RDZ45" s="312"/>
      <c r="REA45" s="656"/>
      <c r="REB45" s="657"/>
      <c r="REC45" s="656"/>
      <c r="RED45" s="657"/>
      <c r="REE45" s="656"/>
      <c r="REF45" s="658"/>
      <c r="REG45" s="656"/>
      <c r="REH45" s="658"/>
      <c r="REK45" s="288"/>
      <c r="REL45" s="312"/>
      <c r="REM45" s="482"/>
      <c r="REN45" s="312"/>
      <c r="REO45" s="656"/>
      <c r="REP45" s="657"/>
      <c r="REQ45" s="656"/>
      <c r="RER45" s="657"/>
      <c r="RES45" s="656"/>
      <c r="RET45" s="658"/>
      <c r="REU45" s="656"/>
      <c r="REV45" s="658"/>
      <c r="REY45" s="288"/>
      <c r="REZ45" s="312"/>
      <c r="RFA45" s="482"/>
      <c r="RFB45" s="312"/>
      <c r="RFC45" s="656"/>
      <c r="RFD45" s="657"/>
      <c r="RFE45" s="656"/>
      <c r="RFF45" s="657"/>
      <c r="RFG45" s="656"/>
      <c r="RFH45" s="658"/>
      <c r="RFI45" s="656"/>
      <c r="RFJ45" s="658"/>
      <c r="RFM45" s="288"/>
      <c r="RFN45" s="312"/>
      <c r="RFO45" s="482"/>
      <c r="RFP45" s="312"/>
      <c r="RFQ45" s="656"/>
      <c r="RFR45" s="657"/>
      <c r="RFS45" s="656"/>
      <c r="RFT45" s="657"/>
      <c r="RFU45" s="656"/>
      <c r="RFV45" s="658"/>
      <c r="RFW45" s="656"/>
      <c r="RFX45" s="658"/>
      <c r="RGA45" s="288"/>
      <c r="RGB45" s="312"/>
      <c r="RGC45" s="482"/>
      <c r="RGD45" s="312"/>
      <c r="RGE45" s="656"/>
      <c r="RGF45" s="657"/>
      <c r="RGG45" s="656"/>
      <c r="RGH45" s="657"/>
      <c r="RGI45" s="656"/>
      <c r="RGJ45" s="658"/>
      <c r="RGK45" s="656"/>
      <c r="RGL45" s="658"/>
      <c r="RGO45" s="288"/>
      <c r="RGP45" s="312"/>
      <c r="RGQ45" s="482"/>
      <c r="RGR45" s="312"/>
      <c r="RGS45" s="656"/>
      <c r="RGT45" s="657"/>
      <c r="RGU45" s="656"/>
      <c r="RGV45" s="657"/>
      <c r="RGW45" s="656"/>
      <c r="RGX45" s="658"/>
      <c r="RGY45" s="656"/>
      <c r="RGZ45" s="658"/>
      <c r="RHC45" s="288"/>
      <c r="RHD45" s="312"/>
      <c r="RHE45" s="482"/>
      <c r="RHF45" s="312"/>
      <c r="RHG45" s="656"/>
      <c r="RHH45" s="657"/>
      <c r="RHI45" s="656"/>
      <c r="RHJ45" s="657"/>
      <c r="RHK45" s="656"/>
      <c r="RHL45" s="658"/>
      <c r="RHM45" s="656"/>
      <c r="RHN45" s="658"/>
      <c r="RHQ45" s="288"/>
      <c r="RHR45" s="312"/>
      <c r="RHS45" s="482"/>
      <c r="RHT45" s="312"/>
      <c r="RHU45" s="656"/>
      <c r="RHV45" s="657"/>
      <c r="RHW45" s="656"/>
      <c r="RHX45" s="657"/>
      <c r="RHY45" s="656"/>
      <c r="RHZ45" s="658"/>
      <c r="RIA45" s="656"/>
      <c r="RIB45" s="658"/>
      <c r="RIE45" s="288"/>
      <c r="RIF45" s="312"/>
      <c r="RIG45" s="482"/>
      <c r="RIH45" s="312"/>
      <c r="RII45" s="656"/>
      <c r="RIJ45" s="657"/>
      <c r="RIK45" s="656"/>
      <c r="RIL45" s="657"/>
      <c r="RIM45" s="656"/>
      <c r="RIN45" s="658"/>
      <c r="RIO45" s="656"/>
      <c r="RIP45" s="658"/>
      <c r="RIS45" s="288"/>
      <c r="RIT45" s="312"/>
      <c r="RIU45" s="482"/>
      <c r="RIV45" s="312"/>
      <c r="RIW45" s="656"/>
      <c r="RIX45" s="657"/>
      <c r="RIY45" s="656"/>
      <c r="RIZ45" s="657"/>
      <c r="RJA45" s="656"/>
      <c r="RJB45" s="658"/>
      <c r="RJC45" s="656"/>
      <c r="RJD45" s="658"/>
      <c r="RJG45" s="288"/>
      <c r="RJH45" s="312"/>
      <c r="RJI45" s="482"/>
      <c r="RJJ45" s="312"/>
      <c r="RJK45" s="656"/>
      <c r="RJL45" s="657"/>
      <c r="RJM45" s="656"/>
      <c r="RJN45" s="657"/>
      <c r="RJO45" s="656"/>
      <c r="RJP45" s="658"/>
      <c r="RJQ45" s="656"/>
      <c r="RJR45" s="658"/>
      <c r="RJU45" s="288"/>
      <c r="RJV45" s="312"/>
      <c r="RJW45" s="482"/>
      <c r="RJX45" s="312"/>
      <c r="RJY45" s="656"/>
      <c r="RJZ45" s="657"/>
      <c r="RKA45" s="656"/>
      <c r="RKB45" s="657"/>
      <c r="RKC45" s="656"/>
      <c r="RKD45" s="658"/>
      <c r="RKE45" s="656"/>
      <c r="RKF45" s="658"/>
      <c r="RKI45" s="288"/>
      <c r="RKJ45" s="312"/>
      <c r="RKK45" s="482"/>
      <c r="RKL45" s="312"/>
      <c r="RKM45" s="656"/>
      <c r="RKN45" s="657"/>
      <c r="RKO45" s="656"/>
      <c r="RKP45" s="657"/>
      <c r="RKQ45" s="656"/>
      <c r="RKR45" s="658"/>
      <c r="RKS45" s="656"/>
      <c r="RKT45" s="658"/>
      <c r="RKW45" s="288"/>
      <c r="RKX45" s="312"/>
      <c r="RKY45" s="482"/>
      <c r="RKZ45" s="312"/>
      <c r="RLA45" s="656"/>
      <c r="RLB45" s="657"/>
      <c r="RLC45" s="656"/>
      <c r="RLD45" s="657"/>
      <c r="RLE45" s="656"/>
      <c r="RLF45" s="658"/>
      <c r="RLG45" s="656"/>
      <c r="RLH45" s="658"/>
      <c r="RLK45" s="288"/>
      <c r="RLL45" s="312"/>
      <c r="RLM45" s="482"/>
      <c r="RLN45" s="312"/>
      <c r="RLO45" s="656"/>
      <c r="RLP45" s="657"/>
      <c r="RLQ45" s="656"/>
      <c r="RLR45" s="657"/>
      <c r="RLS45" s="656"/>
      <c r="RLT45" s="658"/>
      <c r="RLU45" s="656"/>
      <c r="RLV45" s="658"/>
      <c r="RLY45" s="288"/>
      <c r="RLZ45" s="312"/>
      <c r="RMA45" s="482"/>
      <c r="RMB45" s="312"/>
      <c r="RMC45" s="656"/>
      <c r="RMD45" s="657"/>
      <c r="RME45" s="656"/>
      <c r="RMF45" s="657"/>
      <c r="RMG45" s="656"/>
      <c r="RMH45" s="658"/>
      <c r="RMI45" s="656"/>
      <c r="RMJ45" s="658"/>
      <c r="RMM45" s="288"/>
      <c r="RMN45" s="312"/>
      <c r="RMO45" s="482"/>
      <c r="RMP45" s="312"/>
      <c r="RMQ45" s="656"/>
      <c r="RMR45" s="657"/>
      <c r="RMS45" s="656"/>
      <c r="RMT45" s="657"/>
      <c r="RMU45" s="656"/>
      <c r="RMV45" s="658"/>
      <c r="RMW45" s="656"/>
      <c r="RMX45" s="658"/>
      <c r="RNA45" s="288"/>
      <c r="RNB45" s="312"/>
      <c r="RNC45" s="482"/>
      <c r="RND45" s="312"/>
      <c r="RNE45" s="656"/>
      <c r="RNF45" s="657"/>
      <c r="RNG45" s="656"/>
      <c r="RNH45" s="657"/>
      <c r="RNI45" s="656"/>
      <c r="RNJ45" s="658"/>
      <c r="RNK45" s="656"/>
      <c r="RNL45" s="658"/>
      <c r="RNO45" s="288"/>
      <c r="RNP45" s="312"/>
      <c r="RNQ45" s="482"/>
      <c r="RNR45" s="312"/>
      <c r="RNS45" s="656"/>
      <c r="RNT45" s="657"/>
      <c r="RNU45" s="656"/>
      <c r="RNV45" s="657"/>
      <c r="RNW45" s="656"/>
      <c r="RNX45" s="658"/>
      <c r="RNY45" s="656"/>
      <c r="RNZ45" s="658"/>
      <c r="ROC45" s="288"/>
      <c r="ROD45" s="312"/>
      <c r="ROE45" s="482"/>
      <c r="ROF45" s="312"/>
      <c r="ROG45" s="656"/>
      <c r="ROH45" s="657"/>
      <c r="ROI45" s="656"/>
      <c r="ROJ45" s="657"/>
      <c r="ROK45" s="656"/>
      <c r="ROL45" s="658"/>
      <c r="ROM45" s="656"/>
      <c r="RON45" s="658"/>
      <c r="ROQ45" s="288"/>
      <c r="ROR45" s="312"/>
      <c r="ROS45" s="482"/>
      <c r="ROT45" s="312"/>
      <c r="ROU45" s="656"/>
      <c r="ROV45" s="657"/>
      <c r="ROW45" s="656"/>
      <c r="ROX45" s="657"/>
      <c r="ROY45" s="656"/>
      <c r="ROZ45" s="658"/>
      <c r="RPA45" s="656"/>
      <c r="RPB45" s="658"/>
      <c r="RPE45" s="288"/>
      <c r="RPF45" s="312"/>
      <c r="RPG45" s="482"/>
      <c r="RPH45" s="312"/>
      <c r="RPI45" s="656"/>
      <c r="RPJ45" s="657"/>
      <c r="RPK45" s="656"/>
      <c r="RPL45" s="657"/>
      <c r="RPM45" s="656"/>
      <c r="RPN45" s="658"/>
      <c r="RPO45" s="656"/>
      <c r="RPP45" s="658"/>
      <c r="RPS45" s="288"/>
      <c r="RPT45" s="312"/>
      <c r="RPU45" s="482"/>
      <c r="RPV45" s="312"/>
      <c r="RPW45" s="656"/>
      <c r="RPX45" s="657"/>
      <c r="RPY45" s="656"/>
      <c r="RPZ45" s="657"/>
      <c r="RQA45" s="656"/>
      <c r="RQB45" s="658"/>
      <c r="RQC45" s="656"/>
      <c r="RQD45" s="658"/>
      <c r="RQG45" s="288"/>
      <c r="RQH45" s="312"/>
      <c r="RQI45" s="482"/>
      <c r="RQJ45" s="312"/>
      <c r="RQK45" s="656"/>
      <c r="RQL45" s="657"/>
      <c r="RQM45" s="656"/>
      <c r="RQN45" s="657"/>
      <c r="RQO45" s="656"/>
      <c r="RQP45" s="658"/>
      <c r="RQQ45" s="656"/>
      <c r="RQR45" s="658"/>
      <c r="RQU45" s="288"/>
      <c r="RQV45" s="312"/>
      <c r="RQW45" s="482"/>
      <c r="RQX45" s="312"/>
      <c r="RQY45" s="656"/>
      <c r="RQZ45" s="657"/>
      <c r="RRA45" s="656"/>
      <c r="RRB45" s="657"/>
      <c r="RRC45" s="656"/>
      <c r="RRD45" s="658"/>
      <c r="RRE45" s="656"/>
      <c r="RRF45" s="658"/>
      <c r="RRI45" s="288"/>
      <c r="RRJ45" s="312"/>
      <c r="RRK45" s="482"/>
      <c r="RRL45" s="312"/>
      <c r="RRM45" s="656"/>
      <c r="RRN45" s="657"/>
      <c r="RRO45" s="656"/>
      <c r="RRP45" s="657"/>
      <c r="RRQ45" s="656"/>
      <c r="RRR45" s="658"/>
      <c r="RRS45" s="656"/>
      <c r="RRT45" s="658"/>
      <c r="RRW45" s="288"/>
      <c r="RRX45" s="312"/>
      <c r="RRY45" s="482"/>
      <c r="RRZ45" s="312"/>
      <c r="RSA45" s="656"/>
      <c r="RSB45" s="657"/>
      <c r="RSC45" s="656"/>
      <c r="RSD45" s="657"/>
      <c r="RSE45" s="656"/>
      <c r="RSF45" s="658"/>
      <c r="RSG45" s="656"/>
      <c r="RSH45" s="658"/>
      <c r="RSK45" s="288"/>
      <c r="RSL45" s="312"/>
      <c r="RSM45" s="482"/>
      <c r="RSN45" s="312"/>
      <c r="RSO45" s="656"/>
      <c r="RSP45" s="657"/>
      <c r="RSQ45" s="656"/>
      <c r="RSR45" s="657"/>
      <c r="RSS45" s="656"/>
      <c r="RST45" s="658"/>
      <c r="RSU45" s="656"/>
      <c r="RSV45" s="658"/>
      <c r="RSY45" s="288"/>
      <c r="RSZ45" s="312"/>
      <c r="RTA45" s="482"/>
      <c r="RTB45" s="312"/>
      <c r="RTC45" s="656"/>
      <c r="RTD45" s="657"/>
      <c r="RTE45" s="656"/>
      <c r="RTF45" s="657"/>
      <c r="RTG45" s="656"/>
      <c r="RTH45" s="658"/>
      <c r="RTI45" s="656"/>
      <c r="RTJ45" s="658"/>
      <c r="RTM45" s="288"/>
      <c r="RTN45" s="312"/>
      <c r="RTO45" s="482"/>
      <c r="RTP45" s="312"/>
      <c r="RTQ45" s="656"/>
      <c r="RTR45" s="657"/>
      <c r="RTS45" s="656"/>
      <c r="RTT45" s="657"/>
      <c r="RTU45" s="656"/>
      <c r="RTV45" s="658"/>
      <c r="RTW45" s="656"/>
      <c r="RTX45" s="658"/>
      <c r="RUA45" s="288"/>
      <c r="RUB45" s="312"/>
      <c r="RUC45" s="482"/>
      <c r="RUD45" s="312"/>
      <c r="RUE45" s="656"/>
      <c r="RUF45" s="657"/>
      <c r="RUG45" s="656"/>
      <c r="RUH45" s="657"/>
      <c r="RUI45" s="656"/>
      <c r="RUJ45" s="658"/>
      <c r="RUK45" s="656"/>
      <c r="RUL45" s="658"/>
      <c r="RUO45" s="288"/>
      <c r="RUP45" s="312"/>
      <c r="RUQ45" s="482"/>
      <c r="RUR45" s="312"/>
      <c r="RUS45" s="656"/>
      <c r="RUT45" s="657"/>
      <c r="RUU45" s="656"/>
      <c r="RUV45" s="657"/>
      <c r="RUW45" s="656"/>
      <c r="RUX45" s="658"/>
      <c r="RUY45" s="656"/>
      <c r="RUZ45" s="658"/>
      <c r="RVC45" s="288"/>
      <c r="RVD45" s="312"/>
      <c r="RVE45" s="482"/>
      <c r="RVF45" s="312"/>
      <c r="RVG45" s="656"/>
      <c r="RVH45" s="657"/>
      <c r="RVI45" s="656"/>
      <c r="RVJ45" s="657"/>
      <c r="RVK45" s="656"/>
      <c r="RVL45" s="658"/>
      <c r="RVM45" s="656"/>
      <c r="RVN45" s="658"/>
      <c r="RVQ45" s="288"/>
      <c r="RVR45" s="312"/>
      <c r="RVS45" s="482"/>
      <c r="RVT45" s="312"/>
      <c r="RVU45" s="656"/>
      <c r="RVV45" s="657"/>
      <c r="RVW45" s="656"/>
      <c r="RVX45" s="657"/>
      <c r="RVY45" s="656"/>
      <c r="RVZ45" s="658"/>
      <c r="RWA45" s="656"/>
      <c r="RWB45" s="658"/>
      <c r="RWE45" s="288"/>
      <c r="RWF45" s="312"/>
      <c r="RWG45" s="482"/>
      <c r="RWH45" s="312"/>
      <c r="RWI45" s="656"/>
      <c r="RWJ45" s="657"/>
      <c r="RWK45" s="656"/>
      <c r="RWL45" s="657"/>
      <c r="RWM45" s="656"/>
      <c r="RWN45" s="658"/>
      <c r="RWO45" s="656"/>
      <c r="RWP45" s="658"/>
      <c r="RWS45" s="288"/>
      <c r="RWT45" s="312"/>
      <c r="RWU45" s="482"/>
      <c r="RWV45" s="312"/>
      <c r="RWW45" s="656"/>
      <c r="RWX45" s="657"/>
      <c r="RWY45" s="656"/>
      <c r="RWZ45" s="657"/>
      <c r="RXA45" s="656"/>
      <c r="RXB45" s="658"/>
      <c r="RXC45" s="656"/>
      <c r="RXD45" s="658"/>
      <c r="RXG45" s="288"/>
      <c r="RXH45" s="312"/>
      <c r="RXI45" s="482"/>
      <c r="RXJ45" s="312"/>
      <c r="RXK45" s="656"/>
      <c r="RXL45" s="657"/>
      <c r="RXM45" s="656"/>
      <c r="RXN45" s="657"/>
      <c r="RXO45" s="656"/>
      <c r="RXP45" s="658"/>
      <c r="RXQ45" s="656"/>
      <c r="RXR45" s="658"/>
      <c r="RXU45" s="288"/>
      <c r="RXV45" s="312"/>
      <c r="RXW45" s="482"/>
      <c r="RXX45" s="312"/>
      <c r="RXY45" s="656"/>
      <c r="RXZ45" s="657"/>
      <c r="RYA45" s="656"/>
      <c r="RYB45" s="657"/>
      <c r="RYC45" s="656"/>
      <c r="RYD45" s="658"/>
      <c r="RYE45" s="656"/>
      <c r="RYF45" s="658"/>
      <c r="RYI45" s="288"/>
      <c r="RYJ45" s="312"/>
      <c r="RYK45" s="482"/>
      <c r="RYL45" s="312"/>
      <c r="RYM45" s="656"/>
      <c r="RYN45" s="657"/>
      <c r="RYO45" s="656"/>
      <c r="RYP45" s="657"/>
      <c r="RYQ45" s="656"/>
      <c r="RYR45" s="658"/>
      <c r="RYS45" s="656"/>
      <c r="RYT45" s="658"/>
      <c r="RYW45" s="288"/>
      <c r="RYX45" s="312"/>
      <c r="RYY45" s="482"/>
      <c r="RYZ45" s="312"/>
      <c r="RZA45" s="656"/>
      <c r="RZB45" s="657"/>
      <c r="RZC45" s="656"/>
      <c r="RZD45" s="657"/>
      <c r="RZE45" s="656"/>
      <c r="RZF45" s="658"/>
      <c r="RZG45" s="656"/>
      <c r="RZH45" s="658"/>
      <c r="RZK45" s="288"/>
      <c r="RZL45" s="312"/>
      <c r="RZM45" s="482"/>
      <c r="RZN45" s="312"/>
      <c r="RZO45" s="656"/>
      <c r="RZP45" s="657"/>
      <c r="RZQ45" s="656"/>
      <c r="RZR45" s="657"/>
      <c r="RZS45" s="656"/>
      <c r="RZT45" s="658"/>
      <c r="RZU45" s="656"/>
      <c r="RZV45" s="658"/>
      <c r="RZY45" s="288"/>
      <c r="RZZ45" s="312"/>
      <c r="SAA45" s="482"/>
      <c r="SAB45" s="312"/>
      <c r="SAC45" s="656"/>
      <c r="SAD45" s="657"/>
      <c r="SAE45" s="656"/>
      <c r="SAF45" s="657"/>
      <c r="SAG45" s="656"/>
      <c r="SAH45" s="658"/>
      <c r="SAI45" s="656"/>
      <c r="SAJ45" s="658"/>
      <c r="SAM45" s="288"/>
      <c r="SAN45" s="312"/>
      <c r="SAO45" s="482"/>
      <c r="SAP45" s="312"/>
      <c r="SAQ45" s="656"/>
      <c r="SAR45" s="657"/>
      <c r="SAS45" s="656"/>
      <c r="SAT45" s="657"/>
      <c r="SAU45" s="656"/>
      <c r="SAV45" s="658"/>
      <c r="SAW45" s="656"/>
      <c r="SAX45" s="658"/>
      <c r="SBA45" s="288"/>
      <c r="SBB45" s="312"/>
      <c r="SBC45" s="482"/>
      <c r="SBD45" s="312"/>
      <c r="SBE45" s="656"/>
      <c r="SBF45" s="657"/>
      <c r="SBG45" s="656"/>
      <c r="SBH45" s="657"/>
      <c r="SBI45" s="656"/>
      <c r="SBJ45" s="658"/>
      <c r="SBK45" s="656"/>
      <c r="SBL45" s="658"/>
      <c r="SBO45" s="288"/>
      <c r="SBP45" s="312"/>
      <c r="SBQ45" s="482"/>
      <c r="SBR45" s="312"/>
      <c r="SBS45" s="656"/>
      <c r="SBT45" s="657"/>
      <c r="SBU45" s="656"/>
      <c r="SBV45" s="657"/>
      <c r="SBW45" s="656"/>
      <c r="SBX45" s="658"/>
      <c r="SBY45" s="656"/>
      <c r="SBZ45" s="658"/>
      <c r="SCC45" s="288"/>
      <c r="SCD45" s="312"/>
      <c r="SCE45" s="482"/>
      <c r="SCF45" s="312"/>
      <c r="SCG45" s="656"/>
      <c r="SCH45" s="657"/>
      <c r="SCI45" s="656"/>
      <c r="SCJ45" s="657"/>
      <c r="SCK45" s="656"/>
      <c r="SCL45" s="658"/>
      <c r="SCM45" s="656"/>
      <c r="SCN45" s="658"/>
      <c r="SCQ45" s="288"/>
      <c r="SCR45" s="312"/>
      <c r="SCS45" s="482"/>
      <c r="SCT45" s="312"/>
      <c r="SCU45" s="656"/>
      <c r="SCV45" s="657"/>
      <c r="SCW45" s="656"/>
      <c r="SCX45" s="657"/>
      <c r="SCY45" s="656"/>
      <c r="SCZ45" s="658"/>
      <c r="SDA45" s="656"/>
      <c r="SDB45" s="658"/>
      <c r="SDE45" s="288"/>
      <c r="SDF45" s="312"/>
      <c r="SDG45" s="482"/>
      <c r="SDH45" s="312"/>
      <c r="SDI45" s="656"/>
      <c r="SDJ45" s="657"/>
      <c r="SDK45" s="656"/>
      <c r="SDL45" s="657"/>
      <c r="SDM45" s="656"/>
      <c r="SDN45" s="658"/>
      <c r="SDO45" s="656"/>
      <c r="SDP45" s="658"/>
      <c r="SDS45" s="288"/>
      <c r="SDT45" s="312"/>
      <c r="SDU45" s="482"/>
      <c r="SDV45" s="312"/>
      <c r="SDW45" s="656"/>
      <c r="SDX45" s="657"/>
      <c r="SDY45" s="656"/>
      <c r="SDZ45" s="657"/>
      <c r="SEA45" s="656"/>
      <c r="SEB45" s="658"/>
      <c r="SEC45" s="656"/>
      <c r="SED45" s="658"/>
      <c r="SEG45" s="288"/>
      <c r="SEH45" s="312"/>
      <c r="SEI45" s="482"/>
      <c r="SEJ45" s="312"/>
      <c r="SEK45" s="656"/>
      <c r="SEL45" s="657"/>
      <c r="SEM45" s="656"/>
      <c r="SEN45" s="657"/>
      <c r="SEO45" s="656"/>
      <c r="SEP45" s="658"/>
      <c r="SEQ45" s="656"/>
      <c r="SER45" s="658"/>
      <c r="SEU45" s="288"/>
      <c r="SEV45" s="312"/>
      <c r="SEW45" s="482"/>
      <c r="SEX45" s="312"/>
      <c r="SEY45" s="656"/>
      <c r="SEZ45" s="657"/>
      <c r="SFA45" s="656"/>
      <c r="SFB45" s="657"/>
      <c r="SFC45" s="656"/>
      <c r="SFD45" s="658"/>
      <c r="SFE45" s="656"/>
      <c r="SFF45" s="658"/>
      <c r="SFI45" s="288"/>
      <c r="SFJ45" s="312"/>
      <c r="SFK45" s="482"/>
      <c r="SFL45" s="312"/>
      <c r="SFM45" s="656"/>
      <c r="SFN45" s="657"/>
      <c r="SFO45" s="656"/>
      <c r="SFP45" s="657"/>
      <c r="SFQ45" s="656"/>
      <c r="SFR45" s="658"/>
      <c r="SFS45" s="656"/>
      <c r="SFT45" s="658"/>
      <c r="SFW45" s="288"/>
      <c r="SFX45" s="312"/>
      <c r="SFY45" s="482"/>
      <c r="SFZ45" s="312"/>
      <c r="SGA45" s="656"/>
      <c r="SGB45" s="657"/>
      <c r="SGC45" s="656"/>
      <c r="SGD45" s="657"/>
      <c r="SGE45" s="656"/>
      <c r="SGF45" s="658"/>
      <c r="SGG45" s="656"/>
      <c r="SGH45" s="658"/>
      <c r="SGK45" s="288"/>
      <c r="SGL45" s="312"/>
      <c r="SGM45" s="482"/>
      <c r="SGN45" s="312"/>
      <c r="SGO45" s="656"/>
      <c r="SGP45" s="657"/>
      <c r="SGQ45" s="656"/>
      <c r="SGR45" s="657"/>
      <c r="SGS45" s="656"/>
      <c r="SGT45" s="658"/>
      <c r="SGU45" s="656"/>
      <c r="SGV45" s="658"/>
      <c r="SGY45" s="288"/>
      <c r="SGZ45" s="312"/>
      <c r="SHA45" s="482"/>
      <c r="SHB45" s="312"/>
      <c r="SHC45" s="656"/>
      <c r="SHD45" s="657"/>
      <c r="SHE45" s="656"/>
      <c r="SHF45" s="657"/>
      <c r="SHG45" s="656"/>
      <c r="SHH45" s="658"/>
      <c r="SHI45" s="656"/>
      <c r="SHJ45" s="658"/>
      <c r="SHM45" s="288"/>
      <c r="SHN45" s="312"/>
      <c r="SHO45" s="482"/>
      <c r="SHP45" s="312"/>
      <c r="SHQ45" s="656"/>
      <c r="SHR45" s="657"/>
      <c r="SHS45" s="656"/>
      <c r="SHT45" s="657"/>
      <c r="SHU45" s="656"/>
      <c r="SHV45" s="658"/>
      <c r="SHW45" s="656"/>
      <c r="SHX45" s="658"/>
      <c r="SIA45" s="288"/>
      <c r="SIB45" s="312"/>
      <c r="SIC45" s="482"/>
      <c r="SID45" s="312"/>
      <c r="SIE45" s="656"/>
      <c r="SIF45" s="657"/>
      <c r="SIG45" s="656"/>
      <c r="SIH45" s="657"/>
      <c r="SII45" s="656"/>
      <c r="SIJ45" s="658"/>
      <c r="SIK45" s="656"/>
      <c r="SIL45" s="658"/>
      <c r="SIO45" s="288"/>
      <c r="SIP45" s="312"/>
      <c r="SIQ45" s="482"/>
      <c r="SIR45" s="312"/>
      <c r="SIS45" s="656"/>
      <c r="SIT45" s="657"/>
      <c r="SIU45" s="656"/>
      <c r="SIV45" s="657"/>
      <c r="SIW45" s="656"/>
      <c r="SIX45" s="658"/>
      <c r="SIY45" s="656"/>
      <c r="SIZ45" s="658"/>
      <c r="SJC45" s="288"/>
      <c r="SJD45" s="312"/>
      <c r="SJE45" s="482"/>
      <c r="SJF45" s="312"/>
      <c r="SJG45" s="656"/>
      <c r="SJH45" s="657"/>
      <c r="SJI45" s="656"/>
      <c r="SJJ45" s="657"/>
      <c r="SJK45" s="656"/>
      <c r="SJL45" s="658"/>
      <c r="SJM45" s="656"/>
      <c r="SJN45" s="658"/>
      <c r="SJQ45" s="288"/>
      <c r="SJR45" s="312"/>
      <c r="SJS45" s="482"/>
      <c r="SJT45" s="312"/>
      <c r="SJU45" s="656"/>
      <c r="SJV45" s="657"/>
      <c r="SJW45" s="656"/>
      <c r="SJX45" s="657"/>
      <c r="SJY45" s="656"/>
      <c r="SJZ45" s="658"/>
      <c r="SKA45" s="656"/>
      <c r="SKB45" s="658"/>
      <c r="SKE45" s="288"/>
      <c r="SKF45" s="312"/>
      <c r="SKG45" s="482"/>
      <c r="SKH45" s="312"/>
      <c r="SKI45" s="656"/>
      <c r="SKJ45" s="657"/>
      <c r="SKK45" s="656"/>
      <c r="SKL45" s="657"/>
      <c r="SKM45" s="656"/>
      <c r="SKN45" s="658"/>
      <c r="SKO45" s="656"/>
      <c r="SKP45" s="658"/>
      <c r="SKS45" s="288"/>
      <c r="SKT45" s="312"/>
      <c r="SKU45" s="482"/>
      <c r="SKV45" s="312"/>
      <c r="SKW45" s="656"/>
      <c r="SKX45" s="657"/>
      <c r="SKY45" s="656"/>
      <c r="SKZ45" s="657"/>
      <c r="SLA45" s="656"/>
      <c r="SLB45" s="658"/>
      <c r="SLC45" s="656"/>
      <c r="SLD45" s="658"/>
      <c r="SLG45" s="288"/>
      <c r="SLH45" s="312"/>
      <c r="SLI45" s="482"/>
      <c r="SLJ45" s="312"/>
      <c r="SLK45" s="656"/>
      <c r="SLL45" s="657"/>
      <c r="SLM45" s="656"/>
      <c r="SLN45" s="657"/>
      <c r="SLO45" s="656"/>
      <c r="SLP45" s="658"/>
      <c r="SLQ45" s="656"/>
      <c r="SLR45" s="658"/>
      <c r="SLU45" s="288"/>
      <c r="SLV45" s="312"/>
      <c r="SLW45" s="482"/>
      <c r="SLX45" s="312"/>
      <c r="SLY45" s="656"/>
      <c r="SLZ45" s="657"/>
      <c r="SMA45" s="656"/>
      <c r="SMB45" s="657"/>
      <c r="SMC45" s="656"/>
      <c r="SMD45" s="658"/>
      <c r="SME45" s="656"/>
      <c r="SMF45" s="658"/>
      <c r="SMI45" s="288"/>
      <c r="SMJ45" s="312"/>
      <c r="SMK45" s="482"/>
      <c r="SML45" s="312"/>
      <c r="SMM45" s="656"/>
      <c r="SMN45" s="657"/>
      <c r="SMO45" s="656"/>
      <c r="SMP45" s="657"/>
      <c r="SMQ45" s="656"/>
      <c r="SMR45" s="658"/>
      <c r="SMS45" s="656"/>
      <c r="SMT45" s="658"/>
      <c r="SMW45" s="288"/>
      <c r="SMX45" s="312"/>
      <c r="SMY45" s="482"/>
      <c r="SMZ45" s="312"/>
      <c r="SNA45" s="656"/>
      <c r="SNB45" s="657"/>
      <c r="SNC45" s="656"/>
      <c r="SND45" s="657"/>
      <c r="SNE45" s="656"/>
      <c r="SNF45" s="658"/>
      <c r="SNG45" s="656"/>
      <c r="SNH45" s="658"/>
      <c r="SNK45" s="288"/>
      <c r="SNL45" s="312"/>
      <c r="SNM45" s="482"/>
      <c r="SNN45" s="312"/>
      <c r="SNO45" s="656"/>
      <c r="SNP45" s="657"/>
      <c r="SNQ45" s="656"/>
      <c r="SNR45" s="657"/>
      <c r="SNS45" s="656"/>
      <c r="SNT45" s="658"/>
      <c r="SNU45" s="656"/>
      <c r="SNV45" s="658"/>
      <c r="SNY45" s="288"/>
      <c r="SNZ45" s="312"/>
      <c r="SOA45" s="482"/>
      <c r="SOB45" s="312"/>
      <c r="SOC45" s="656"/>
      <c r="SOD45" s="657"/>
      <c r="SOE45" s="656"/>
      <c r="SOF45" s="657"/>
      <c r="SOG45" s="656"/>
      <c r="SOH45" s="658"/>
      <c r="SOI45" s="656"/>
      <c r="SOJ45" s="658"/>
      <c r="SOM45" s="288"/>
      <c r="SON45" s="312"/>
      <c r="SOO45" s="482"/>
      <c r="SOP45" s="312"/>
      <c r="SOQ45" s="656"/>
      <c r="SOR45" s="657"/>
      <c r="SOS45" s="656"/>
      <c r="SOT45" s="657"/>
      <c r="SOU45" s="656"/>
      <c r="SOV45" s="658"/>
      <c r="SOW45" s="656"/>
      <c r="SOX45" s="658"/>
      <c r="SPA45" s="288"/>
      <c r="SPB45" s="312"/>
      <c r="SPC45" s="482"/>
      <c r="SPD45" s="312"/>
      <c r="SPE45" s="656"/>
      <c r="SPF45" s="657"/>
      <c r="SPG45" s="656"/>
      <c r="SPH45" s="657"/>
      <c r="SPI45" s="656"/>
      <c r="SPJ45" s="658"/>
      <c r="SPK45" s="656"/>
      <c r="SPL45" s="658"/>
      <c r="SPO45" s="288"/>
      <c r="SPP45" s="312"/>
      <c r="SPQ45" s="482"/>
      <c r="SPR45" s="312"/>
      <c r="SPS45" s="656"/>
      <c r="SPT45" s="657"/>
      <c r="SPU45" s="656"/>
      <c r="SPV45" s="657"/>
      <c r="SPW45" s="656"/>
      <c r="SPX45" s="658"/>
      <c r="SPY45" s="656"/>
      <c r="SPZ45" s="658"/>
      <c r="SQC45" s="288"/>
      <c r="SQD45" s="312"/>
      <c r="SQE45" s="482"/>
      <c r="SQF45" s="312"/>
      <c r="SQG45" s="656"/>
      <c r="SQH45" s="657"/>
      <c r="SQI45" s="656"/>
      <c r="SQJ45" s="657"/>
      <c r="SQK45" s="656"/>
      <c r="SQL45" s="658"/>
      <c r="SQM45" s="656"/>
      <c r="SQN45" s="658"/>
      <c r="SQQ45" s="288"/>
      <c r="SQR45" s="312"/>
      <c r="SQS45" s="482"/>
      <c r="SQT45" s="312"/>
      <c r="SQU45" s="656"/>
      <c r="SQV45" s="657"/>
      <c r="SQW45" s="656"/>
      <c r="SQX45" s="657"/>
      <c r="SQY45" s="656"/>
      <c r="SQZ45" s="658"/>
      <c r="SRA45" s="656"/>
      <c r="SRB45" s="658"/>
      <c r="SRE45" s="288"/>
      <c r="SRF45" s="312"/>
      <c r="SRG45" s="482"/>
      <c r="SRH45" s="312"/>
      <c r="SRI45" s="656"/>
      <c r="SRJ45" s="657"/>
      <c r="SRK45" s="656"/>
      <c r="SRL45" s="657"/>
      <c r="SRM45" s="656"/>
      <c r="SRN45" s="658"/>
      <c r="SRO45" s="656"/>
      <c r="SRP45" s="658"/>
      <c r="SRS45" s="288"/>
      <c r="SRT45" s="312"/>
      <c r="SRU45" s="482"/>
      <c r="SRV45" s="312"/>
      <c r="SRW45" s="656"/>
      <c r="SRX45" s="657"/>
      <c r="SRY45" s="656"/>
      <c r="SRZ45" s="657"/>
      <c r="SSA45" s="656"/>
      <c r="SSB45" s="658"/>
      <c r="SSC45" s="656"/>
      <c r="SSD45" s="658"/>
      <c r="SSG45" s="288"/>
      <c r="SSH45" s="312"/>
      <c r="SSI45" s="482"/>
      <c r="SSJ45" s="312"/>
      <c r="SSK45" s="656"/>
      <c r="SSL45" s="657"/>
      <c r="SSM45" s="656"/>
      <c r="SSN45" s="657"/>
      <c r="SSO45" s="656"/>
      <c r="SSP45" s="658"/>
      <c r="SSQ45" s="656"/>
      <c r="SSR45" s="658"/>
      <c r="SSU45" s="288"/>
      <c r="SSV45" s="312"/>
      <c r="SSW45" s="482"/>
      <c r="SSX45" s="312"/>
      <c r="SSY45" s="656"/>
      <c r="SSZ45" s="657"/>
      <c r="STA45" s="656"/>
      <c r="STB45" s="657"/>
      <c r="STC45" s="656"/>
      <c r="STD45" s="658"/>
      <c r="STE45" s="656"/>
      <c r="STF45" s="658"/>
      <c r="STI45" s="288"/>
      <c r="STJ45" s="312"/>
      <c r="STK45" s="482"/>
      <c r="STL45" s="312"/>
      <c r="STM45" s="656"/>
      <c r="STN45" s="657"/>
      <c r="STO45" s="656"/>
      <c r="STP45" s="657"/>
      <c r="STQ45" s="656"/>
      <c r="STR45" s="658"/>
      <c r="STS45" s="656"/>
      <c r="STT45" s="658"/>
      <c r="STW45" s="288"/>
      <c r="STX45" s="312"/>
      <c r="STY45" s="482"/>
      <c r="STZ45" s="312"/>
      <c r="SUA45" s="656"/>
      <c r="SUB45" s="657"/>
      <c r="SUC45" s="656"/>
      <c r="SUD45" s="657"/>
      <c r="SUE45" s="656"/>
      <c r="SUF45" s="658"/>
      <c r="SUG45" s="656"/>
      <c r="SUH45" s="658"/>
      <c r="SUK45" s="288"/>
      <c r="SUL45" s="312"/>
      <c r="SUM45" s="482"/>
      <c r="SUN45" s="312"/>
      <c r="SUO45" s="656"/>
      <c r="SUP45" s="657"/>
      <c r="SUQ45" s="656"/>
      <c r="SUR45" s="657"/>
      <c r="SUS45" s="656"/>
      <c r="SUT45" s="658"/>
      <c r="SUU45" s="656"/>
      <c r="SUV45" s="658"/>
      <c r="SUY45" s="288"/>
      <c r="SUZ45" s="312"/>
      <c r="SVA45" s="482"/>
      <c r="SVB45" s="312"/>
      <c r="SVC45" s="656"/>
      <c r="SVD45" s="657"/>
      <c r="SVE45" s="656"/>
      <c r="SVF45" s="657"/>
      <c r="SVG45" s="656"/>
      <c r="SVH45" s="658"/>
      <c r="SVI45" s="656"/>
      <c r="SVJ45" s="658"/>
      <c r="SVM45" s="288"/>
      <c r="SVN45" s="312"/>
      <c r="SVO45" s="482"/>
      <c r="SVP45" s="312"/>
      <c r="SVQ45" s="656"/>
      <c r="SVR45" s="657"/>
      <c r="SVS45" s="656"/>
      <c r="SVT45" s="657"/>
      <c r="SVU45" s="656"/>
      <c r="SVV45" s="658"/>
      <c r="SVW45" s="656"/>
      <c r="SVX45" s="658"/>
      <c r="SWA45" s="288"/>
      <c r="SWB45" s="312"/>
      <c r="SWC45" s="482"/>
      <c r="SWD45" s="312"/>
      <c r="SWE45" s="656"/>
      <c r="SWF45" s="657"/>
      <c r="SWG45" s="656"/>
      <c r="SWH45" s="657"/>
      <c r="SWI45" s="656"/>
      <c r="SWJ45" s="658"/>
      <c r="SWK45" s="656"/>
      <c r="SWL45" s="658"/>
      <c r="SWO45" s="288"/>
      <c r="SWP45" s="312"/>
      <c r="SWQ45" s="482"/>
      <c r="SWR45" s="312"/>
      <c r="SWS45" s="656"/>
      <c r="SWT45" s="657"/>
      <c r="SWU45" s="656"/>
      <c r="SWV45" s="657"/>
      <c r="SWW45" s="656"/>
      <c r="SWX45" s="658"/>
      <c r="SWY45" s="656"/>
      <c r="SWZ45" s="658"/>
      <c r="SXC45" s="288"/>
      <c r="SXD45" s="312"/>
      <c r="SXE45" s="482"/>
      <c r="SXF45" s="312"/>
      <c r="SXG45" s="656"/>
      <c r="SXH45" s="657"/>
      <c r="SXI45" s="656"/>
      <c r="SXJ45" s="657"/>
      <c r="SXK45" s="656"/>
      <c r="SXL45" s="658"/>
      <c r="SXM45" s="656"/>
      <c r="SXN45" s="658"/>
      <c r="SXQ45" s="288"/>
      <c r="SXR45" s="312"/>
      <c r="SXS45" s="482"/>
      <c r="SXT45" s="312"/>
      <c r="SXU45" s="656"/>
      <c r="SXV45" s="657"/>
      <c r="SXW45" s="656"/>
      <c r="SXX45" s="657"/>
      <c r="SXY45" s="656"/>
      <c r="SXZ45" s="658"/>
      <c r="SYA45" s="656"/>
      <c r="SYB45" s="658"/>
      <c r="SYE45" s="288"/>
      <c r="SYF45" s="312"/>
      <c r="SYG45" s="482"/>
      <c r="SYH45" s="312"/>
      <c r="SYI45" s="656"/>
      <c r="SYJ45" s="657"/>
      <c r="SYK45" s="656"/>
      <c r="SYL45" s="657"/>
      <c r="SYM45" s="656"/>
      <c r="SYN45" s="658"/>
      <c r="SYO45" s="656"/>
      <c r="SYP45" s="658"/>
      <c r="SYS45" s="288"/>
      <c r="SYT45" s="312"/>
      <c r="SYU45" s="482"/>
      <c r="SYV45" s="312"/>
      <c r="SYW45" s="656"/>
      <c r="SYX45" s="657"/>
      <c r="SYY45" s="656"/>
      <c r="SYZ45" s="657"/>
      <c r="SZA45" s="656"/>
      <c r="SZB45" s="658"/>
      <c r="SZC45" s="656"/>
      <c r="SZD45" s="658"/>
      <c r="SZG45" s="288"/>
      <c r="SZH45" s="312"/>
      <c r="SZI45" s="482"/>
      <c r="SZJ45" s="312"/>
      <c r="SZK45" s="656"/>
      <c r="SZL45" s="657"/>
      <c r="SZM45" s="656"/>
      <c r="SZN45" s="657"/>
      <c r="SZO45" s="656"/>
      <c r="SZP45" s="658"/>
      <c r="SZQ45" s="656"/>
      <c r="SZR45" s="658"/>
      <c r="SZU45" s="288"/>
      <c r="SZV45" s="312"/>
      <c r="SZW45" s="482"/>
      <c r="SZX45" s="312"/>
      <c r="SZY45" s="656"/>
      <c r="SZZ45" s="657"/>
      <c r="TAA45" s="656"/>
      <c r="TAB45" s="657"/>
      <c r="TAC45" s="656"/>
      <c r="TAD45" s="658"/>
      <c r="TAE45" s="656"/>
      <c r="TAF45" s="658"/>
      <c r="TAI45" s="288"/>
      <c r="TAJ45" s="312"/>
      <c r="TAK45" s="482"/>
      <c r="TAL45" s="312"/>
      <c r="TAM45" s="656"/>
      <c r="TAN45" s="657"/>
      <c r="TAO45" s="656"/>
      <c r="TAP45" s="657"/>
      <c r="TAQ45" s="656"/>
      <c r="TAR45" s="658"/>
      <c r="TAS45" s="656"/>
      <c r="TAT45" s="658"/>
      <c r="TAW45" s="288"/>
      <c r="TAX45" s="312"/>
      <c r="TAY45" s="482"/>
      <c r="TAZ45" s="312"/>
      <c r="TBA45" s="656"/>
      <c r="TBB45" s="657"/>
      <c r="TBC45" s="656"/>
      <c r="TBD45" s="657"/>
      <c r="TBE45" s="656"/>
      <c r="TBF45" s="658"/>
      <c r="TBG45" s="656"/>
      <c r="TBH45" s="658"/>
      <c r="TBK45" s="288"/>
      <c r="TBL45" s="312"/>
      <c r="TBM45" s="482"/>
      <c r="TBN45" s="312"/>
      <c r="TBO45" s="656"/>
      <c r="TBP45" s="657"/>
      <c r="TBQ45" s="656"/>
      <c r="TBR45" s="657"/>
      <c r="TBS45" s="656"/>
      <c r="TBT45" s="658"/>
      <c r="TBU45" s="656"/>
      <c r="TBV45" s="658"/>
      <c r="TBY45" s="288"/>
      <c r="TBZ45" s="312"/>
      <c r="TCA45" s="482"/>
      <c r="TCB45" s="312"/>
      <c r="TCC45" s="656"/>
      <c r="TCD45" s="657"/>
      <c r="TCE45" s="656"/>
      <c r="TCF45" s="657"/>
      <c r="TCG45" s="656"/>
      <c r="TCH45" s="658"/>
      <c r="TCI45" s="656"/>
      <c r="TCJ45" s="658"/>
      <c r="TCM45" s="288"/>
      <c r="TCN45" s="312"/>
      <c r="TCO45" s="482"/>
      <c r="TCP45" s="312"/>
      <c r="TCQ45" s="656"/>
      <c r="TCR45" s="657"/>
      <c r="TCS45" s="656"/>
      <c r="TCT45" s="657"/>
      <c r="TCU45" s="656"/>
      <c r="TCV45" s="658"/>
      <c r="TCW45" s="656"/>
      <c r="TCX45" s="658"/>
      <c r="TDA45" s="288"/>
      <c r="TDB45" s="312"/>
      <c r="TDC45" s="482"/>
      <c r="TDD45" s="312"/>
      <c r="TDE45" s="656"/>
      <c r="TDF45" s="657"/>
      <c r="TDG45" s="656"/>
      <c r="TDH45" s="657"/>
      <c r="TDI45" s="656"/>
      <c r="TDJ45" s="658"/>
      <c r="TDK45" s="656"/>
      <c r="TDL45" s="658"/>
      <c r="TDO45" s="288"/>
      <c r="TDP45" s="312"/>
      <c r="TDQ45" s="482"/>
      <c r="TDR45" s="312"/>
      <c r="TDS45" s="656"/>
      <c r="TDT45" s="657"/>
      <c r="TDU45" s="656"/>
      <c r="TDV45" s="657"/>
      <c r="TDW45" s="656"/>
      <c r="TDX45" s="658"/>
      <c r="TDY45" s="656"/>
      <c r="TDZ45" s="658"/>
      <c r="TEC45" s="288"/>
      <c r="TED45" s="312"/>
      <c r="TEE45" s="482"/>
      <c r="TEF45" s="312"/>
      <c r="TEG45" s="656"/>
      <c r="TEH45" s="657"/>
      <c r="TEI45" s="656"/>
      <c r="TEJ45" s="657"/>
      <c r="TEK45" s="656"/>
      <c r="TEL45" s="658"/>
      <c r="TEM45" s="656"/>
      <c r="TEN45" s="658"/>
      <c r="TEQ45" s="288"/>
      <c r="TER45" s="312"/>
      <c r="TES45" s="482"/>
      <c r="TET45" s="312"/>
      <c r="TEU45" s="656"/>
      <c r="TEV45" s="657"/>
      <c r="TEW45" s="656"/>
      <c r="TEX45" s="657"/>
      <c r="TEY45" s="656"/>
      <c r="TEZ45" s="658"/>
      <c r="TFA45" s="656"/>
      <c r="TFB45" s="658"/>
      <c r="TFE45" s="288"/>
      <c r="TFF45" s="312"/>
      <c r="TFG45" s="482"/>
      <c r="TFH45" s="312"/>
      <c r="TFI45" s="656"/>
      <c r="TFJ45" s="657"/>
      <c r="TFK45" s="656"/>
      <c r="TFL45" s="657"/>
      <c r="TFM45" s="656"/>
      <c r="TFN45" s="658"/>
      <c r="TFO45" s="656"/>
      <c r="TFP45" s="658"/>
      <c r="TFS45" s="288"/>
      <c r="TFT45" s="312"/>
      <c r="TFU45" s="482"/>
      <c r="TFV45" s="312"/>
      <c r="TFW45" s="656"/>
      <c r="TFX45" s="657"/>
      <c r="TFY45" s="656"/>
      <c r="TFZ45" s="657"/>
      <c r="TGA45" s="656"/>
      <c r="TGB45" s="658"/>
      <c r="TGC45" s="656"/>
      <c r="TGD45" s="658"/>
      <c r="TGG45" s="288"/>
      <c r="TGH45" s="312"/>
      <c r="TGI45" s="482"/>
      <c r="TGJ45" s="312"/>
      <c r="TGK45" s="656"/>
      <c r="TGL45" s="657"/>
      <c r="TGM45" s="656"/>
      <c r="TGN45" s="657"/>
      <c r="TGO45" s="656"/>
      <c r="TGP45" s="658"/>
      <c r="TGQ45" s="656"/>
      <c r="TGR45" s="658"/>
      <c r="TGU45" s="288"/>
      <c r="TGV45" s="312"/>
      <c r="TGW45" s="482"/>
      <c r="TGX45" s="312"/>
      <c r="TGY45" s="656"/>
      <c r="TGZ45" s="657"/>
      <c r="THA45" s="656"/>
      <c r="THB45" s="657"/>
      <c r="THC45" s="656"/>
      <c r="THD45" s="658"/>
      <c r="THE45" s="656"/>
      <c r="THF45" s="658"/>
      <c r="THI45" s="288"/>
      <c r="THJ45" s="312"/>
      <c r="THK45" s="482"/>
      <c r="THL45" s="312"/>
      <c r="THM45" s="656"/>
      <c r="THN45" s="657"/>
      <c r="THO45" s="656"/>
      <c r="THP45" s="657"/>
      <c r="THQ45" s="656"/>
      <c r="THR45" s="658"/>
      <c r="THS45" s="656"/>
      <c r="THT45" s="658"/>
      <c r="THW45" s="288"/>
      <c r="THX45" s="312"/>
      <c r="THY45" s="482"/>
      <c r="THZ45" s="312"/>
      <c r="TIA45" s="656"/>
      <c r="TIB45" s="657"/>
      <c r="TIC45" s="656"/>
      <c r="TID45" s="657"/>
      <c r="TIE45" s="656"/>
      <c r="TIF45" s="658"/>
      <c r="TIG45" s="656"/>
      <c r="TIH45" s="658"/>
      <c r="TIK45" s="288"/>
      <c r="TIL45" s="312"/>
      <c r="TIM45" s="482"/>
      <c r="TIN45" s="312"/>
      <c r="TIO45" s="656"/>
      <c r="TIP45" s="657"/>
      <c r="TIQ45" s="656"/>
      <c r="TIR45" s="657"/>
      <c r="TIS45" s="656"/>
      <c r="TIT45" s="658"/>
      <c r="TIU45" s="656"/>
      <c r="TIV45" s="658"/>
      <c r="TIY45" s="288"/>
      <c r="TIZ45" s="312"/>
      <c r="TJA45" s="482"/>
      <c r="TJB45" s="312"/>
      <c r="TJC45" s="656"/>
      <c r="TJD45" s="657"/>
      <c r="TJE45" s="656"/>
      <c r="TJF45" s="657"/>
      <c r="TJG45" s="656"/>
      <c r="TJH45" s="658"/>
      <c r="TJI45" s="656"/>
      <c r="TJJ45" s="658"/>
      <c r="TJM45" s="288"/>
      <c r="TJN45" s="312"/>
      <c r="TJO45" s="482"/>
      <c r="TJP45" s="312"/>
      <c r="TJQ45" s="656"/>
      <c r="TJR45" s="657"/>
      <c r="TJS45" s="656"/>
      <c r="TJT45" s="657"/>
      <c r="TJU45" s="656"/>
      <c r="TJV45" s="658"/>
      <c r="TJW45" s="656"/>
      <c r="TJX45" s="658"/>
      <c r="TKA45" s="288"/>
      <c r="TKB45" s="312"/>
      <c r="TKC45" s="482"/>
      <c r="TKD45" s="312"/>
      <c r="TKE45" s="656"/>
      <c r="TKF45" s="657"/>
      <c r="TKG45" s="656"/>
      <c r="TKH45" s="657"/>
      <c r="TKI45" s="656"/>
      <c r="TKJ45" s="658"/>
      <c r="TKK45" s="656"/>
      <c r="TKL45" s="658"/>
      <c r="TKO45" s="288"/>
      <c r="TKP45" s="312"/>
      <c r="TKQ45" s="482"/>
      <c r="TKR45" s="312"/>
      <c r="TKS45" s="656"/>
      <c r="TKT45" s="657"/>
      <c r="TKU45" s="656"/>
      <c r="TKV45" s="657"/>
      <c r="TKW45" s="656"/>
      <c r="TKX45" s="658"/>
      <c r="TKY45" s="656"/>
      <c r="TKZ45" s="658"/>
      <c r="TLC45" s="288"/>
      <c r="TLD45" s="312"/>
      <c r="TLE45" s="482"/>
      <c r="TLF45" s="312"/>
      <c r="TLG45" s="656"/>
      <c r="TLH45" s="657"/>
      <c r="TLI45" s="656"/>
      <c r="TLJ45" s="657"/>
      <c r="TLK45" s="656"/>
      <c r="TLL45" s="658"/>
      <c r="TLM45" s="656"/>
      <c r="TLN45" s="658"/>
      <c r="TLQ45" s="288"/>
      <c r="TLR45" s="312"/>
      <c r="TLS45" s="482"/>
      <c r="TLT45" s="312"/>
      <c r="TLU45" s="656"/>
      <c r="TLV45" s="657"/>
      <c r="TLW45" s="656"/>
      <c r="TLX45" s="657"/>
      <c r="TLY45" s="656"/>
      <c r="TLZ45" s="658"/>
      <c r="TMA45" s="656"/>
      <c r="TMB45" s="658"/>
      <c r="TME45" s="288"/>
      <c r="TMF45" s="312"/>
      <c r="TMG45" s="482"/>
      <c r="TMH45" s="312"/>
      <c r="TMI45" s="656"/>
      <c r="TMJ45" s="657"/>
      <c r="TMK45" s="656"/>
      <c r="TML45" s="657"/>
      <c r="TMM45" s="656"/>
      <c r="TMN45" s="658"/>
      <c r="TMO45" s="656"/>
      <c r="TMP45" s="658"/>
      <c r="TMS45" s="288"/>
      <c r="TMT45" s="312"/>
      <c r="TMU45" s="482"/>
      <c r="TMV45" s="312"/>
      <c r="TMW45" s="656"/>
      <c r="TMX45" s="657"/>
      <c r="TMY45" s="656"/>
      <c r="TMZ45" s="657"/>
      <c r="TNA45" s="656"/>
      <c r="TNB45" s="658"/>
      <c r="TNC45" s="656"/>
      <c r="TND45" s="658"/>
      <c r="TNG45" s="288"/>
      <c r="TNH45" s="312"/>
      <c r="TNI45" s="482"/>
      <c r="TNJ45" s="312"/>
      <c r="TNK45" s="656"/>
      <c r="TNL45" s="657"/>
      <c r="TNM45" s="656"/>
      <c r="TNN45" s="657"/>
      <c r="TNO45" s="656"/>
      <c r="TNP45" s="658"/>
      <c r="TNQ45" s="656"/>
      <c r="TNR45" s="658"/>
      <c r="TNU45" s="288"/>
      <c r="TNV45" s="312"/>
      <c r="TNW45" s="482"/>
      <c r="TNX45" s="312"/>
      <c r="TNY45" s="656"/>
      <c r="TNZ45" s="657"/>
      <c r="TOA45" s="656"/>
      <c r="TOB45" s="657"/>
      <c r="TOC45" s="656"/>
      <c r="TOD45" s="658"/>
      <c r="TOE45" s="656"/>
      <c r="TOF45" s="658"/>
      <c r="TOI45" s="288"/>
      <c r="TOJ45" s="312"/>
      <c r="TOK45" s="482"/>
      <c r="TOL45" s="312"/>
      <c r="TOM45" s="656"/>
      <c r="TON45" s="657"/>
      <c r="TOO45" s="656"/>
      <c r="TOP45" s="657"/>
      <c r="TOQ45" s="656"/>
      <c r="TOR45" s="658"/>
      <c r="TOS45" s="656"/>
      <c r="TOT45" s="658"/>
      <c r="TOW45" s="288"/>
      <c r="TOX45" s="312"/>
      <c r="TOY45" s="482"/>
      <c r="TOZ45" s="312"/>
      <c r="TPA45" s="656"/>
      <c r="TPB45" s="657"/>
      <c r="TPC45" s="656"/>
      <c r="TPD45" s="657"/>
      <c r="TPE45" s="656"/>
      <c r="TPF45" s="658"/>
      <c r="TPG45" s="656"/>
      <c r="TPH45" s="658"/>
      <c r="TPK45" s="288"/>
      <c r="TPL45" s="312"/>
      <c r="TPM45" s="482"/>
      <c r="TPN45" s="312"/>
      <c r="TPO45" s="656"/>
      <c r="TPP45" s="657"/>
      <c r="TPQ45" s="656"/>
      <c r="TPR45" s="657"/>
      <c r="TPS45" s="656"/>
      <c r="TPT45" s="658"/>
      <c r="TPU45" s="656"/>
      <c r="TPV45" s="658"/>
      <c r="TPY45" s="288"/>
      <c r="TPZ45" s="312"/>
      <c r="TQA45" s="482"/>
      <c r="TQB45" s="312"/>
      <c r="TQC45" s="656"/>
      <c r="TQD45" s="657"/>
      <c r="TQE45" s="656"/>
      <c r="TQF45" s="657"/>
      <c r="TQG45" s="656"/>
      <c r="TQH45" s="658"/>
      <c r="TQI45" s="656"/>
      <c r="TQJ45" s="658"/>
      <c r="TQM45" s="288"/>
      <c r="TQN45" s="312"/>
      <c r="TQO45" s="482"/>
      <c r="TQP45" s="312"/>
      <c r="TQQ45" s="656"/>
      <c r="TQR45" s="657"/>
      <c r="TQS45" s="656"/>
      <c r="TQT45" s="657"/>
      <c r="TQU45" s="656"/>
      <c r="TQV45" s="658"/>
      <c r="TQW45" s="656"/>
      <c r="TQX45" s="658"/>
      <c r="TRA45" s="288"/>
      <c r="TRB45" s="312"/>
      <c r="TRC45" s="482"/>
      <c r="TRD45" s="312"/>
      <c r="TRE45" s="656"/>
      <c r="TRF45" s="657"/>
      <c r="TRG45" s="656"/>
      <c r="TRH45" s="657"/>
      <c r="TRI45" s="656"/>
      <c r="TRJ45" s="658"/>
      <c r="TRK45" s="656"/>
      <c r="TRL45" s="658"/>
      <c r="TRO45" s="288"/>
      <c r="TRP45" s="312"/>
      <c r="TRQ45" s="482"/>
      <c r="TRR45" s="312"/>
      <c r="TRS45" s="656"/>
      <c r="TRT45" s="657"/>
      <c r="TRU45" s="656"/>
      <c r="TRV45" s="657"/>
      <c r="TRW45" s="656"/>
      <c r="TRX45" s="658"/>
      <c r="TRY45" s="656"/>
      <c r="TRZ45" s="658"/>
      <c r="TSC45" s="288"/>
      <c r="TSD45" s="312"/>
      <c r="TSE45" s="482"/>
      <c r="TSF45" s="312"/>
      <c r="TSG45" s="656"/>
      <c r="TSH45" s="657"/>
      <c r="TSI45" s="656"/>
      <c r="TSJ45" s="657"/>
      <c r="TSK45" s="656"/>
      <c r="TSL45" s="658"/>
      <c r="TSM45" s="656"/>
      <c r="TSN45" s="658"/>
      <c r="TSQ45" s="288"/>
      <c r="TSR45" s="312"/>
      <c r="TSS45" s="482"/>
      <c r="TST45" s="312"/>
      <c r="TSU45" s="656"/>
      <c r="TSV45" s="657"/>
      <c r="TSW45" s="656"/>
      <c r="TSX45" s="657"/>
      <c r="TSY45" s="656"/>
      <c r="TSZ45" s="658"/>
      <c r="TTA45" s="656"/>
      <c r="TTB45" s="658"/>
      <c r="TTE45" s="288"/>
      <c r="TTF45" s="312"/>
      <c r="TTG45" s="482"/>
      <c r="TTH45" s="312"/>
      <c r="TTI45" s="656"/>
      <c r="TTJ45" s="657"/>
      <c r="TTK45" s="656"/>
      <c r="TTL45" s="657"/>
      <c r="TTM45" s="656"/>
      <c r="TTN45" s="658"/>
      <c r="TTO45" s="656"/>
      <c r="TTP45" s="658"/>
      <c r="TTS45" s="288"/>
      <c r="TTT45" s="312"/>
      <c r="TTU45" s="482"/>
      <c r="TTV45" s="312"/>
      <c r="TTW45" s="656"/>
      <c r="TTX45" s="657"/>
      <c r="TTY45" s="656"/>
      <c r="TTZ45" s="657"/>
      <c r="TUA45" s="656"/>
      <c r="TUB45" s="658"/>
      <c r="TUC45" s="656"/>
      <c r="TUD45" s="658"/>
      <c r="TUG45" s="288"/>
      <c r="TUH45" s="312"/>
      <c r="TUI45" s="482"/>
      <c r="TUJ45" s="312"/>
      <c r="TUK45" s="656"/>
      <c r="TUL45" s="657"/>
      <c r="TUM45" s="656"/>
      <c r="TUN45" s="657"/>
      <c r="TUO45" s="656"/>
      <c r="TUP45" s="658"/>
      <c r="TUQ45" s="656"/>
      <c r="TUR45" s="658"/>
      <c r="TUU45" s="288"/>
      <c r="TUV45" s="312"/>
      <c r="TUW45" s="482"/>
      <c r="TUX45" s="312"/>
      <c r="TUY45" s="656"/>
      <c r="TUZ45" s="657"/>
      <c r="TVA45" s="656"/>
      <c r="TVB45" s="657"/>
      <c r="TVC45" s="656"/>
      <c r="TVD45" s="658"/>
      <c r="TVE45" s="656"/>
      <c r="TVF45" s="658"/>
      <c r="TVI45" s="288"/>
      <c r="TVJ45" s="312"/>
      <c r="TVK45" s="482"/>
      <c r="TVL45" s="312"/>
      <c r="TVM45" s="656"/>
      <c r="TVN45" s="657"/>
      <c r="TVO45" s="656"/>
      <c r="TVP45" s="657"/>
      <c r="TVQ45" s="656"/>
      <c r="TVR45" s="658"/>
      <c r="TVS45" s="656"/>
      <c r="TVT45" s="658"/>
      <c r="TVW45" s="288"/>
      <c r="TVX45" s="312"/>
      <c r="TVY45" s="482"/>
      <c r="TVZ45" s="312"/>
      <c r="TWA45" s="656"/>
      <c r="TWB45" s="657"/>
      <c r="TWC45" s="656"/>
      <c r="TWD45" s="657"/>
      <c r="TWE45" s="656"/>
      <c r="TWF45" s="658"/>
      <c r="TWG45" s="656"/>
      <c r="TWH45" s="658"/>
      <c r="TWK45" s="288"/>
      <c r="TWL45" s="312"/>
      <c r="TWM45" s="482"/>
      <c r="TWN45" s="312"/>
      <c r="TWO45" s="656"/>
      <c r="TWP45" s="657"/>
      <c r="TWQ45" s="656"/>
      <c r="TWR45" s="657"/>
      <c r="TWS45" s="656"/>
      <c r="TWT45" s="658"/>
      <c r="TWU45" s="656"/>
      <c r="TWV45" s="658"/>
      <c r="TWY45" s="288"/>
      <c r="TWZ45" s="312"/>
      <c r="TXA45" s="482"/>
      <c r="TXB45" s="312"/>
      <c r="TXC45" s="656"/>
      <c r="TXD45" s="657"/>
      <c r="TXE45" s="656"/>
      <c r="TXF45" s="657"/>
      <c r="TXG45" s="656"/>
      <c r="TXH45" s="658"/>
      <c r="TXI45" s="656"/>
      <c r="TXJ45" s="658"/>
      <c r="TXM45" s="288"/>
      <c r="TXN45" s="312"/>
      <c r="TXO45" s="482"/>
      <c r="TXP45" s="312"/>
      <c r="TXQ45" s="656"/>
      <c r="TXR45" s="657"/>
      <c r="TXS45" s="656"/>
      <c r="TXT45" s="657"/>
      <c r="TXU45" s="656"/>
      <c r="TXV45" s="658"/>
      <c r="TXW45" s="656"/>
      <c r="TXX45" s="658"/>
      <c r="TYA45" s="288"/>
      <c r="TYB45" s="312"/>
      <c r="TYC45" s="482"/>
      <c r="TYD45" s="312"/>
      <c r="TYE45" s="656"/>
      <c r="TYF45" s="657"/>
      <c r="TYG45" s="656"/>
      <c r="TYH45" s="657"/>
      <c r="TYI45" s="656"/>
      <c r="TYJ45" s="658"/>
      <c r="TYK45" s="656"/>
      <c r="TYL45" s="658"/>
      <c r="TYO45" s="288"/>
      <c r="TYP45" s="312"/>
      <c r="TYQ45" s="482"/>
      <c r="TYR45" s="312"/>
      <c r="TYS45" s="656"/>
      <c r="TYT45" s="657"/>
      <c r="TYU45" s="656"/>
      <c r="TYV45" s="657"/>
      <c r="TYW45" s="656"/>
      <c r="TYX45" s="658"/>
      <c r="TYY45" s="656"/>
      <c r="TYZ45" s="658"/>
      <c r="TZC45" s="288"/>
      <c r="TZD45" s="312"/>
      <c r="TZE45" s="482"/>
      <c r="TZF45" s="312"/>
      <c r="TZG45" s="656"/>
      <c r="TZH45" s="657"/>
      <c r="TZI45" s="656"/>
      <c r="TZJ45" s="657"/>
      <c r="TZK45" s="656"/>
      <c r="TZL45" s="658"/>
      <c r="TZM45" s="656"/>
      <c r="TZN45" s="658"/>
      <c r="TZQ45" s="288"/>
      <c r="TZR45" s="312"/>
      <c r="TZS45" s="482"/>
      <c r="TZT45" s="312"/>
      <c r="TZU45" s="656"/>
      <c r="TZV45" s="657"/>
      <c r="TZW45" s="656"/>
      <c r="TZX45" s="657"/>
      <c r="TZY45" s="656"/>
      <c r="TZZ45" s="658"/>
      <c r="UAA45" s="656"/>
      <c r="UAB45" s="658"/>
      <c r="UAE45" s="288"/>
      <c r="UAF45" s="312"/>
      <c r="UAG45" s="482"/>
      <c r="UAH45" s="312"/>
      <c r="UAI45" s="656"/>
      <c r="UAJ45" s="657"/>
      <c r="UAK45" s="656"/>
      <c r="UAL45" s="657"/>
      <c r="UAM45" s="656"/>
      <c r="UAN45" s="658"/>
      <c r="UAO45" s="656"/>
      <c r="UAP45" s="658"/>
      <c r="UAS45" s="288"/>
      <c r="UAT45" s="312"/>
      <c r="UAU45" s="482"/>
      <c r="UAV45" s="312"/>
      <c r="UAW45" s="656"/>
      <c r="UAX45" s="657"/>
      <c r="UAY45" s="656"/>
      <c r="UAZ45" s="657"/>
      <c r="UBA45" s="656"/>
      <c r="UBB45" s="658"/>
      <c r="UBC45" s="656"/>
      <c r="UBD45" s="658"/>
      <c r="UBG45" s="288"/>
      <c r="UBH45" s="312"/>
      <c r="UBI45" s="482"/>
      <c r="UBJ45" s="312"/>
      <c r="UBK45" s="656"/>
      <c r="UBL45" s="657"/>
      <c r="UBM45" s="656"/>
      <c r="UBN45" s="657"/>
      <c r="UBO45" s="656"/>
      <c r="UBP45" s="658"/>
      <c r="UBQ45" s="656"/>
      <c r="UBR45" s="658"/>
      <c r="UBU45" s="288"/>
      <c r="UBV45" s="312"/>
      <c r="UBW45" s="482"/>
      <c r="UBX45" s="312"/>
      <c r="UBY45" s="656"/>
      <c r="UBZ45" s="657"/>
      <c r="UCA45" s="656"/>
      <c r="UCB45" s="657"/>
      <c r="UCC45" s="656"/>
      <c r="UCD45" s="658"/>
      <c r="UCE45" s="656"/>
      <c r="UCF45" s="658"/>
      <c r="UCI45" s="288"/>
      <c r="UCJ45" s="312"/>
      <c r="UCK45" s="482"/>
      <c r="UCL45" s="312"/>
      <c r="UCM45" s="656"/>
      <c r="UCN45" s="657"/>
      <c r="UCO45" s="656"/>
      <c r="UCP45" s="657"/>
      <c r="UCQ45" s="656"/>
      <c r="UCR45" s="658"/>
      <c r="UCS45" s="656"/>
      <c r="UCT45" s="658"/>
      <c r="UCW45" s="288"/>
      <c r="UCX45" s="312"/>
      <c r="UCY45" s="482"/>
      <c r="UCZ45" s="312"/>
      <c r="UDA45" s="656"/>
      <c r="UDB45" s="657"/>
      <c r="UDC45" s="656"/>
      <c r="UDD45" s="657"/>
      <c r="UDE45" s="656"/>
      <c r="UDF45" s="658"/>
      <c r="UDG45" s="656"/>
      <c r="UDH45" s="658"/>
      <c r="UDK45" s="288"/>
      <c r="UDL45" s="312"/>
      <c r="UDM45" s="482"/>
      <c r="UDN45" s="312"/>
      <c r="UDO45" s="656"/>
      <c r="UDP45" s="657"/>
      <c r="UDQ45" s="656"/>
      <c r="UDR45" s="657"/>
      <c r="UDS45" s="656"/>
      <c r="UDT45" s="658"/>
      <c r="UDU45" s="656"/>
      <c r="UDV45" s="658"/>
      <c r="UDY45" s="288"/>
      <c r="UDZ45" s="312"/>
      <c r="UEA45" s="482"/>
      <c r="UEB45" s="312"/>
      <c r="UEC45" s="656"/>
      <c r="UED45" s="657"/>
      <c r="UEE45" s="656"/>
      <c r="UEF45" s="657"/>
      <c r="UEG45" s="656"/>
      <c r="UEH45" s="658"/>
      <c r="UEI45" s="656"/>
      <c r="UEJ45" s="658"/>
      <c r="UEM45" s="288"/>
      <c r="UEN45" s="312"/>
      <c r="UEO45" s="482"/>
      <c r="UEP45" s="312"/>
      <c r="UEQ45" s="656"/>
      <c r="UER45" s="657"/>
      <c r="UES45" s="656"/>
      <c r="UET45" s="657"/>
      <c r="UEU45" s="656"/>
      <c r="UEV45" s="658"/>
      <c r="UEW45" s="656"/>
      <c r="UEX45" s="658"/>
      <c r="UFA45" s="288"/>
      <c r="UFB45" s="312"/>
      <c r="UFC45" s="482"/>
      <c r="UFD45" s="312"/>
      <c r="UFE45" s="656"/>
      <c r="UFF45" s="657"/>
      <c r="UFG45" s="656"/>
      <c r="UFH45" s="657"/>
      <c r="UFI45" s="656"/>
      <c r="UFJ45" s="658"/>
      <c r="UFK45" s="656"/>
      <c r="UFL45" s="658"/>
      <c r="UFO45" s="288"/>
      <c r="UFP45" s="312"/>
      <c r="UFQ45" s="482"/>
      <c r="UFR45" s="312"/>
      <c r="UFS45" s="656"/>
      <c r="UFT45" s="657"/>
      <c r="UFU45" s="656"/>
      <c r="UFV45" s="657"/>
      <c r="UFW45" s="656"/>
      <c r="UFX45" s="658"/>
      <c r="UFY45" s="656"/>
      <c r="UFZ45" s="658"/>
      <c r="UGC45" s="288"/>
      <c r="UGD45" s="312"/>
      <c r="UGE45" s="482"/>
      <c r="UGF45" s="312"/>
      <c r="UGG45" s="656"/>
      <c r="UGH45" s="657"/>
      <c r="UGI45" s="656"/>
      <c r="UGJ45" s="657"/>
      <c r="UGK45" s="656"/>
      <c r="UGL45" s="658"/>
      <c r="UGM45" s="656"/>
      <c r="UGN45" s="658"/>
      <c r="UGQ45" s="288"/>
      <c r="UGR45" s="312"/>
      <c r="UGS45" s="482"/>
      <c r="UGT45" s="312"/>
      <c r="UGU45" s="656"/>
      <c r="UGV45" s="657"/>
      <c r="UGW45" s="656"/>
      <c r="UGX45" s="657"/>
      <c r="UGY45" s="656"/>
      <c r="UGZ45" s="658"/>
      <c r="UHA45" s="656"/>
      <c r="UHB45" s="658"/>
      <c r="UHE45" s="288"/>
      <c r="UHF45" s="312"/>
      <c r="UHG45" s="482"/>
      <c r="UHH45" s="312"/>
      <c r="UHI45" s="656"/>
      <c r="UHJ45" s="657"/>
      <c r="UHK45" s="656"/>
      <c r="UHL45" s="657"/>
      <c r="UHM45" s="656"/>
      <c r="UHN45" s="658"/>
      <c r="UHO45" s="656"/>
      <c r="UHP45" s="658"/>
      <c r="UHS45" s="288"/>
      <c r="UHT45" s="312"/>
      <c r="UHU45" s="482"/>
      <c r="UHV45" s="312"/>
      <c r="UHW45" s="656"/>
      <c r="UHX45" s="657"/>
      <c r="UHY45" s="656"/>
      <c r="UHZ45" s="657"/>
      <c r="UIA45" s="656"/>
      <c r="UIB45" s="658"/>
      <c r="UIC45" s="656"/>
      <c r="UID45" s="658"/>
      <c r="UIG45" s="288"/>
      <c r="UIH45" s="312"/>
      <c r="UII45" s="482"/>
      <c r="UIJ45" s="312"/>
      <c r="UIK45" s="656"/>
      <c r="UIL45" s="657"/>
      <c r="UIM45" s="656"/>
      <c r="UIN45" s="657"/>
      <c r="UIO45" s="656"/>
      <c r="UIP45" s="658"/>
      <c r="UIQ45" s="656"/>
      <c r="UIR45" s="658"/>
      <c r="UIU45" s="288"/>
      <c r="UIV45" s="312"/>
      <c r="UIW45" s="482"/>
      <c r="UIX45" s="312"/>
      <c r="UIY45" s="656"/>
      <c r="UIZ45" s="657"/>
      <c r="UJA45" s="656"/>
      <c r="UJB45" s="657"/>
      <c r="UJC45" s="656"/>
      <c r="UJD45" s="658"/>
      <c r="UJE45" s="656"/>
      <c r="UJF45" s="658"/>
      <c r="UJI45" s="288"/>
      <c r="UJJ45" s="312"/>
      <c r="UJK45" s="482"/>
      <c r="UJL45" s="312"/>
      <c r="UJM45" s="656"/>
      <c r="UJN45" s="657"/>
      <c r="UJO45" s="656"/>
      <c r="UJP45" s="657"/>
      <c r="UJQ45" s="656"/>
      <c r="UJR45" s="658"/>
      <c r="UJS45" s="656"/>
      <c r="UJT45" s="658"/>
      <c r="UJW45" s="288"/>
      <c r="UJX45" s="312"/>
      <c r="UJY45" s="482"/>
      <c r="UJZ45" s="312"/>
      <c r="UKA45" s="656"/>
      <c r="UKB45" s="657"/>
      <c r="UKC45" s="656"/>
      <c r="UKD45" s="657"/>
      <c r="UKE45" s="656"/>
      <c r="UKF45" s="658"/>
      <c r="UKG45" s="656"/>
      <c r="UKH45" s="658"/>
      <c r="UKK45" s="288"/>
      <c r="UKL45" s="312"/>
      <c r="UKM45" s="482"/>
      <c r="UKN45" s="312"/>
      <c r="UKO45" s="656"/>
      <c r="UKP45" s="657"/>
      <c r="UKQ45" s="656"/>
      <c r="UKR45" s="657"/>
      <c r="UKS45" s="656"/>
      <c r="UKT45" s="658"/>
      <c r="UKU45" s="656"/>
      <c r="UKV45" s="658"/>
      <c r="UKY45" s="288"/>
      <c r="UKZ45" s="312"/>
      <c r="ULA45" s="482"/>
      <c r="ULB45" s="312"/>
      <c r="ULC45" s="656"/>
      <c r="ULD45" s="657"/>
      <c r="ULE45" s="656"/>
      <c r="ULF45" s="657"/>
      <c r="ULG45" s="656"/>
      <c r="ULH45" s="658"/>
      <c r="ULI45" s="656"/>
      <c r="ULJ45" s="658"/>
      <c r="ULM45" s="288"/>
      <c r="ULN45" s="312"/>
      <c r="ULO45" s="482"/>
      <c r="ULP45" s="312"/>
      <c r="ULQ45" s="656"/>
      <c r="ULR45" s="657"/>
      <c r="ULS45" s="656"/>
      <c r="ULT45" s="657"/>
      <c r="ULU45" s="656"/>
      <c r="ULV45" s="658"/>
      <c r="ULW45" s="656"/>
      <c r="ULX45" s="658"/>
      <c r="UMA45" s="288"/>
      <c r="UMB45" s="312"/>
      <c r="UMC45" s="482"/>
      <c r="UMD45" s="312"/>
      <c r="UME45" s="656"/>
      <c r="UMF45" s="657"/>
      <c r="UMG45" s="656"/>
      <c r="UMH45" s="657"/>
      <c r="UMI45" s="656"/>
      <c r="UMJ45" s="658"/>
      <c r="UMK45" s="656"/>
      <c r="UML45" s="658"/>
      <c r="UMO45" s="288"/>
      <c r="UMP45" s="312"/>
      <c r="UMQ45" s="482"/>
      <c r="UMR45" s="312"/>
      <c r="UMS45" s="656"/>
      <c r="UMT45" s="657"/>
      <c r="UMU45" s="656"/>
      <c r="UMV45" s="657"/>
      <c r="UMW45" s="656"/>
      <c r="UMX45" s="658"/>
      <c r="UMY45" s="656"/>
      <c r="UMZ45" s="658"/>
      <c r="UNC45" s="288"/>
      <c r="UND45" s="312"/>
      <c r="UNE45" s="482"/>
      <c r="UNF45" s="312"/>
      <c r="UNG45" s="656"/>
      <c r="UNH45" s="657"/>
      <c r="UNI45" s="656"/>
      <c r="UNJ45" s="657"/>
      <c r="UNK45" s="656"/>
      <c r="UNL45" s="658"/>
      <c r="UNM45" s="656"/>
      <c r="UNN45" s="658"/>
      <c r="UNQ45" s="288"/>
      <c r="UNR45" s="312"/>
      <c r="UNS45" s="482"/>
      <c r="UNT45" s="312"/>
      <c r="UNU45" s="656"/>
      <c r="UNV45" s="657"/>
      <c r="UNW45" s="656"/>
      <c r="UNX45" s="657"/>
      <c r="UNY45" s="656"/>
      <c r="UNZ45" s="658"/>
      <c r="UOA45" s="656"/>
      <c r="UOB45" s="658"/>
      <c r="UOE45" s="288"/>
      <c r="UOF45" s="312"/>
      <c r="UOG45" s="482"/>
      <c r="UOH45" s="312"/>
      <c r="UOI45" s="656"/>
      <c r="UOJ45" s="657"/>
      <c r="UOK45" s="656"/>
      <c r="UOL45" s="657"/>
      <c r="UOM45" s="656"/>
      <c r="UON45" s="658"/>
      <c r="UOO45" s="656"/>
      <c r="UOP45" s="658"/>
      <c r="UOS45" s="288"/>
      <c r="UOT45" s="312"/>
      <c r="UOU45" s="482"/>
      <c r="UOV45" s="312"/>
      <c r="UOW45" s="656"/>
      <c r="UOX45" s="657"/>
      <c r="UOY45" s="656"/>
      <c r="UOZ45" s="657"/>
      <c r="UPA45" s="656"/>
      <c r="UPB45" s="658"/>
      <c r="UPC45" s="656"/>
      <c r="UPD45" s="658"/>
      <c r="UPG45" s="288"/>
      <c r="UPH45" s="312"/>
      <c r="UPI45" s="482"/>
      <c r="UPJ45" s="312"/>
      <c r="UPK45" s="656"/>
      <c r="UPL45" s="657"/>
      <c r="UPM45" s="656"/>
      <c r="UPN45" s="657"/>
      <c r="UPO45" s="656"/>
      <c r="UPP45" s="658"/>
      <c r="UPQ45" s="656"/>
      <c r="UPR45" s="658"/>
      <c r="UPU45" s="288"/>
      <c r="UPV45" s="312"/>
      <c r="UPW45" s="482"/>
      <c r="UPX45" s="312"/>
      <c r="UPY45" s="656"/>
      <c r="UPZ45" s="657"/>
      <c r="UQA45" s="656"/>
      <c r="UQB45" s="657"/>
      <c r="UQC45" s="656"/>
      <c r="UQD45" s="658"/>
      <c r="UQE45" s="656"/>
      <c r="UQF45" s="658"/>
      <c r="UQI45" s="288"/>
      <c r="UQJ45" s="312"/>
      <c r="UQK45" s="482"/>
      <c r="UQL45" s="312"/>
      <c r="UQM45" s="656"/>
      <c r="UQN45" s="657"/>
      <c r="UQO45" s="656"/>
      <c r="UQP45" s="657"/>
      <c r="UQQ45" s="656"/>
      <c r="UQR45" s="658"/>
      <c r="UQS45" s="656"/>
      <c r="UQT45" s="658"/>
      <c r="UQW45" s="288"/>
      <c r="UQX45" s="312"/>
      <c r="UQY45" s="482"/>
      <c r="UQZ45" s="312"/>
      <c r="URA45" s="656"/>
      <c r="URB45" s="657"/>
      <c r="URC45" s="656"/>
      <c r="URD45" s="657"/>
      <c r="URE45" s="656"/>
      <c r="URF45" s="658"/>
      <c r="URG45" s="656"/>
      <c r="URH45" s="658"/>
      <c r="URK45" s="288"/>
      <c r="URL45" s="312"/>
      <c r="URM45" s="482"/>
      <c r="URN45" s="312"/>
      <c r="URO45" s="656"/>
      <c r="URP45" s="657"/>
      <c r="URQ45" s="656"/>
      <c r="URR45" s="657"/>
      <c r="URS45" s="656"/>
      <c r="URT45" s="658"/>
      <c r="URU45" s="656"/>
      <c r="URV45" s="658"/>
      <c r="URY45" s="288"/>
      <c r="URZ45" s="312"/>
      <c r="USA45" s="482"/>
      <c r="USB45" s="312"/>
      <c r="USC45" s="656"/>
      <c r="USD45" s="657"/>
      <c r="USE45" s="656"/>
      <c r="USF45" s="657"/>
      <c r="USG45" s="656"/>
      <c r="USH45" s="658"/>
      <c r="USI45" s="656"/>
      <c r="USJ45" s="658"/>
      <c r="USM45" s="288"/>
      <c r="USN45" s="312"/>
      <c r="USO45" s="482"/>
      <c r="USP45" s="312"/>
      <c r="USQ45" s="656"/>
      <c r="USR45" s="657"/>
      <c r="USS45" s="656"/>
      <c r="UST45" s="657"/>
      <c r="USU45" s="656"/>
      <c r="USV45" s="658"/>
      <c r="USW45" s="656"/>
      <c r="USX45" s="658"/>
      <c r="UTA45" s="288"/>
      <c r="UTB45" s="312"/>
      <c r="UTC45" s="482"/>
      <c r="UTD45" s="312"/>
      <c r="UTE45" s="656"/>
      <c r="UTF45" s="657"/>
      <c r="UTG45" s="656"/>
      <c r="UTH45" s="657"/>
      <c r="UTI45" s="656"/>
      <c r="UTJ45" s="658"/>
      <c r="UTK45" s="656"/>
      <c r="UTL45" s="658"/>
      <c r="UTO45" s="288"/>
      <c r="UTP45" s="312"/>
      <c r="UTQ45" s="482"/>
      <c r="UTR45" s="312"/>
      <c r="UTS45" s="656"/>
      <c r="UTT45" s="657"/>
      <c r="UTU45" s="656"/>
      <c r="UTV45" s="657"/>
      <c r="UTW45" s="656"/>
      <c r="UTX45" s="658"/>
      <c r="UTY45" s="656"/>
      <c r="UTZ45" s="658"/>
      <c r="UUC45" s="288"/>
      <c r="UUD45" s="312"/>
      <c r="UUE45" s="482"/>
      <c r="UUF45" s="312"/>
      <c r="UUG45" s="656"/>
      <c r="UUH45" s="657"/>
      <c r="UUI45" s="656"/>
      <c r="UUJ45" s="657"/>
      <c r="UUK45" s="656"/>
      <c r="UUL45" s="658"/>
      <c r="UUM45" s="656"/>
      <c r="UUN45" s="658"/>
      <c r="UUQ45" s="288"/>
      <c r="UUR45" s="312"/>
      <c r="UUS45" s="482"/>
      <c r="UUT45" s="312"/>
      <c r="UUU45" s="656"/>
      <c r="UUV45" s="657"/>
      <c r="UUW45" s="656"/>
      <c r="UUX45" s="657"/>
      <c r="UUY45" s="656"/>
      <c r="UUZ45" s="658"/>
      <c r="UVA45" s="656"/>
      <c r="UVB45" s="658"/>
      <c r="UVE45" s="288"/>
      <c r="UVF45" s="312"/>
      <c r="UVG45" s="482"/>
      <c r="UVH45" s="312"/>
      <c r="UVI45" s="656"/>
      <c r="UVJ45" s="657"/>
      <c r="UVK45" s="656"/>
      <c r="UVL45" s="657"/>
      <c r="UVM45" s="656"/>
      <c r="UVN45" s="658"/>
      <c r="UVO45" s="656"/>
      <c r="UVP45" s="658"/>
      <c r="UVS45" s="288"/>
      <c r="UVT45" s="312"/>
      <c r="UVU45" s="482"/>
      <c r="UVV45" s="312"/>
      <c r="UVW45" s="656"/>
      <c r="UVX45" s="657"/>
      <c r="UVY45" s="656"/>
      <c r="UVZ45" s="657"/>
      <c r="UWA45" s="656"/>
      <c r="UWB45" s="658"/>
      <c r="UWC45" s="656"/>
      <c r="UWD45" s="658"/>
      <c r="UWG45" s="288"/>
      <c r="UWH45" s="312"/>
      <c r="UWI45" s="482"/>
      <c r="UWJ45" s="312"/>
      <c r="UWK45" s="656"/>
      <c r="UWL45" s="657"/>
      <c r="UWM45" s="656"/>
      <c r="UWN45" s="657"/>
      <c r="UWO45" s="656"/>
      <c r="UWP45" s="658"/>
      <c r="UWQ45" s="656"/>
      <c r="UWR45" s="658"/>
      <c r="UWU45" s="288"/>
      <c r="UWV45" s="312"/>
      <c r="UWW45" s="482"/>
      <c r="UWX45" s="312"/>
      <c r="UWY45" s="656"/>
      <c r="UWZ45" s="657"/>
      <c r="UXA45" s="656"/>
      <c r="UXB45" s="657"/>
      <c r="UXC45" s="656"/>
      <c r="UXD45" s="658"/>
      <c r="UXE45" s="656"/>
      <c r="UXF45" s="658"/>
      <c r="UXI45" s="288"/>
      <c r="UXJ45" s="312"/>
      <c r="UXK45" s="482"/>
      <c r="UXL45" s="312"/>
      <c r="UXM45" s="656"/>
      <c r="UXN45" s="657"/>
      <c r="UXO45" s="656"/>
      <c r="UXP45" s="657"/>
      <c r="UXQ45" s="656"/>
      <c r="UXR45" s="658"/>
      <c r="UXS45" s="656"/>
      <c r="UXT45" s="658"/>
      <c r="UXW45" s="288"/>
      <c r="UXX45" s="312"/>
      <c r="UXY45" s="482"/>
      <c r="UXZ45" s="312"/>
      <c r="UYA45" s="656"/>
      <c r="UYB45" s="657"/>
      <c r="UYC45" s="656"/>
      <c r="UYD45" s="657"/>
      <c r="UYE45" s="656"/>
      <c r="UYF45" s="658"/>
      <c r="UYG45" s="656"/>
      <c r="UYH45" s="658"/>
      <c r="UYK45" s="288"/>
      <c r="UYL45" s="312"/>
      <c r="UYM45" s="482"/>
      <c r="UYN45" s="312"/>
      <c r="UYO45" s="656"/>
      <c r="UYP45" s="657"/>
      <c r="UYQ45" s="656"/>
      <c r="UYR45" s="657"/>
      <c r="UYS45" s="656"/>
      <c r="UYT45" s="658"/>
      <c r="UYU45" s="656"/>
      <c r="UYV45" s="658"/>
      <c r="UYY45" s="288"/>
      <c r="UYZ45" s="312"/>
      <c r="UZA45" s="482"/>
      <c r="UZB45" s="312"/>
      <c r="UZC45" s="656"/>
      <c r="UZD45" s="657"/>
      <c r="UZE45" s="656"/>
      <c r="UZF45" s="657"/>
      <c r="UZG45" s="656"/>
      <c r="UZH45" s="658"/>
      <c r="UZI45" s="656"/>
      <c r="UZJ45" s="658"/>
      <c r="UZM45" s="288"/>
      <c r="UZN45" s="312"/>
      <c r="UZO45" s="482"/>
      <c r="UZP45" s="312"/>
      <c r="UZQ45" s="656"/>
      <c r="UZR45" s="657"/>
      <c r="UZS45" s="656"/>
      <c r="UZT45" s="657"/>
      <c r="UZU45" s="656"/>
      <c r="UZV45" s="658"/>
      <c r="UZW45" s="656"/>
      <c r="UZX45" s="658"/>
      <c r="VAA45" s="288"/>
      <c r="VAB45" s="312"/>
      <c r="VAC45" s="482"/>
      <c r="VAD45" s="312"/>
      <c r="VAE45" s="656"/>
      <c r="VAF45" s="657"/>
      <c r="VAG45" s="656"/>
      <c r="VAH45" s="657"/>
      <c r="VAI45" s="656"/>
      <c r="VAJ45" s="658"/>
      <c r="VAK45" s="656"/>
      <c r="VAL45" s="658"/>
      <c r="VAO45" s="288"/>
      <c r="VAP45" s="312"/>
      <c r="VAQ45" s="482"/>
      <c r="VAR45" s="312"/>
      <c r="VAS45" s="656"/>
      <c r="VAT45" s="657"/>
      <c r="VAU45" s="656"/>
      <c r="VAV45" s="657"/>
      <c r="VAW45" s="656"/>
      <c r="VAX45" s="658"/>
      <c r="VAY45" s="656"/>
      <c r="VAZ45" s="658"/>
      <c r="VBC45" s="288"/>
      <c r="VBD45" s="312"/>
      <c r="VBE45" s="482"/>
      <c r="VBF45" s="312"/>
      <c r="VBG45" s="656"/>
      <c r="VBH45" s="657"/>
      <c r="VBI45" s="656"/>
      <c r="VBJ45" s="657"/>
      <c r="VBK45" s="656"/>
      <c r="VBL45" s="658"/>
      <c r="VBM45" s="656"/>
      <c r="VBN45" s="658"/>
      <c r="VBQ45" s="288"/>
      <c r="VBR45" s="312"/>
      <c r="VBS45" s="482"/>
      <c r="VBT45" s="312"/>
      <c r="VBU45" s="656"/>
      <c r="VBV45" s="657"/>
      <c r="VBW45" s="656"/>
      <c r="VBX45" s="657"/>
      <c r="VBY45" s="656"/>
      <c r="VBZ45" s="658"/>
      <c r="VCA45" s="656"/>
      <c r="VCB45" s="658"/>
      <c r="VCE45" s="288"/>
      <c r="VCF45" s="312"/>
      <c r="VCG45" s="482"/>
      <c r="VCH45" s="312"/>
      <c r="VCI45" s="656"/>
      <c r="VCJ45" s="657"/>
      <c r="VCK45" s="656"/>
      <c r="VCL45" s="657"/>
      <c r="VCM45" s="656"/>
      <c r="VCN45" s="658"/>
      <c r="VCO45" s="656"/>
      <c r="VCP45" s="658"/>
      <c r="VCS45" s="288"/>
      <c r="VCT45" s="312"/>
      <c r="VCU45" s="482"/>
      <c r="VCV45" s="312"/>
      <c r="VCW45" s="656"/>
      <c r="VCX45" s="657"/>
      <c r="VCY45" s="656"/>
      <c r="VCZ45" s="657"/>
      <c r="VDA45" s="656"/>
      <c r="VDB45" s="658"/>
      <c r="VDC45" s="656"/>
      <c r="VDD45" s="658"/>
      <c r="VDG45" s="288"/>
      <c r="VDH45" s="312"/>
      <c r="VDI45" s="482"/>
      <c r="VDJ45" s="312"/>
      <c r="VDK45" s="656"/>
      <c r="VDL45" s="657"/>
      <c r="VDM45" s="656"/>
      <c r="VDN45" s="657"/>
      <c r="VDO45" s="656"/>
      <c r="VDP45" s="658"/>
      <c r="VDQ45" s="656"/>
      <c r="VDR45" s="658"/>
      <c r="VDU45" s="288"/>
      <c r="VDV45" s="312"/>
      <c r="VDW45" s="482"/>
      <c r="VDX45" s="312"/>
      <c r="VDY45" s="656"/>
      <c r="VDZ45" s="657"/>
      <c r="VEA45" s="656"/>
      <c r="VEB45" s="657"/>
      <c r="VEC45" s="656"/>
      <c r="VED45" s="658"/>
      <c r="VEE45" s="656"/>
      <c r="VEF45" s="658"/>
      <c r="VEI45" s="288"/>
      <c r="VEJ45" s="312"/>
      <c r="VEK45" s="482"/>
      <c r="VEL45" s="312"/>
      <c r="VEM45" s="656"/>
      <c r="VEN45" s="657"/>
      <c r="VEO45" s="656"/>
      <c r="VEP45" s="657"/>
      <c r="VEQ45" s="656"/>
      <c r="VER45" s="658"/>
      <c r="VES45" s="656"/>
      <c r="VET45" s="658"/>
      <c r="VEW45" s="288"/>
      <c r="VEX45" s="312"/>
      <c r="VEY45" s="482"/>
      <c r="VEZ45" s="312"/>
      <c r="VFA45" s="656"/>
      <c r="VFB45" s="657"/>
      <c r="VFC45" s="656"/>
      <c r="VFD45" s="657"/>
      <c r="VFE45" s="656"/>
      <c r="VFF45" s="658"/>
      <c r="VFG45" s="656"/>
      <c r="VFH45" s="658"/>
      <c r="VFK45" s="288"/>
      <c r="VFL45" s="312"/>
      <c r="VFM45" s="482"/>
      <c r="VFN45" s="312"/>
      <c r="VFO45" s="656"/>
      <c r="VFP45" s="657"/>
      <c r="VFQ45" s="656"/>
      <c r="VFR45" s="657"/>
      <c r="VFS45" s="656"/>
      <c r="VFT45" s="658"/>
      <c r="VFU45" s="656"/>
      <c r="VFV45" s="658"/>
      <c r="VFY45" s="288"/>
      <c r="VFZ45" s="312"/>
      <c r="VGA45" s="482"/>
      <c r="VGB45" s="312"/>
      <c r="VGC45" s="656"/>
      <c r="VGD45" s="657"/>
      <c r="VGE45" s="656"/>
      <c r="VGF45" s="657"/>
      <c r="VGG45" s="656"/>
      <c r="VGH45" s="658"/>
      <c r="VGI45" s="656"/>
      <c r="VGJ45" s="658"/>
      <c r="VGM45" s="288"/>
      <c r="VGN45" s="312"/>
      <c r="VGO45" s="482"/>
      <c r="VGP45" s="312"/>
      <c r="VGQ45" s="656"/>
      <c r="VGR45" s="657"/>
      <c r="VGS45" s="656"/>
      <c r="VGT45" s="657"/>
      <c r="VGU45" s="656"/>
      <c r="VGV45" s="658"/>
      <c r="VGW45" s="656"/>
      <c r="VGX45" s="658"/>
      <c r="VHA45" s="288"/>
      <c r="VHB45" s="312"/>
      <c r="VHC45" s="482"/>
      <c r="VHD45" s="312"/>
      <c r="VHE45" s="656"/>
      <c r="VHF45" s="657"/>
      <c r="VHG45" s="656"/>
      <c r="VHH45" s="657"/>
      <c r="VHI45" s="656"/>
      <c r="VHJ45" s="658"/>
      <c r="VHK45" s="656"/>
      <c r="VHL45" s="658"/>
      <c r="VHO45" s="288"/>
      <c r="VHP45" s="312"/>
      <c r="VHQ45" s="482"/>
      <c r="VHR45" s="312"/>
      <c r="VHS45" s="656"/>
      <c r="VHT45" s="657"/>
      <c r="VHU45" s="656"/>
      <c r="VHV45" s="657"/>
      <c r="VHW45" s="656"/>
      <c r="VHX45" s="658"/>
      <c r="VHY45" s="656"/>
      <c r="VHZ45" s="658"/>
      <c r="VIC45" s="288"/>
      <c r="VID45" s="312"/>
      <c r="VIE45" s="482"/>
      <c r="VIF45" s="312"/>
      <c r="VIG45" s="656"/>
      <c r="VIH45" s="657"/>
      <c r="VII45" s="656"/>
      <c r="VIJ45" s="657"/>
      <c r="VIK45" s="656"/>
      <c r="VIL45" s="658"/>
      <c r="VIM45" s="656"/>
      <c r="VIN45" s="658"/>
      <c r="VIQ45" s="288"/>
      <c r="VIR45" s="312"/>
      <c r="VIS45" s="482"/>
      <c r="VIT45" s="312"/>
      <c r="VIU45" s="656"/>
      <c r="VIV45" s="657"/>
      <c r="VIW45" s="656"/>
      <c r="VIX45" s="657"/>
      <c r="VIY45" s="656"/>
      <c r="VIZ45" s="658"/>
      <c r="VJA45" s="656"/>
      <c r="VJB45" s="658"/>
      <c r="VJE45" s="288"/>
      <c r="VJF45" s="312"/>
      <c r="VJG45" s="482"/>
      <c r="VJH45" s="312"/>
      <c r="VJI45" s="656"/>
      <c r="VJJ45" s="657"/>
      <c r="VJK45" s="656"/>
      <c r="VJL45" s="657"/>
      <c r="VJM45" s="656"/>
      <c r="VJN45" s="658"/>
      <c r="VJO45" s="656"/>
      <c r="VJP45" s="658"/>
      <c r="VJS45" s="288"/>
      <c r="VJT45" s="312"/>
      <c r="VJU45" s="482"/>
      <c r="VJV45" s="312"/>
      <c r="VJW45" s="656"/>
      <c r="VJX45" s="657"/>
      <c r="VJY45" s="656"/>
      <c r="VJZ45" s="657"/>
      <c r="VKA45" s="656"/>
      <c r="VKB45" s="658"/>
      <c r="VKC45" s="656"/>
      <c r="VKD45" s="658"/>
      <c r="VKG45" s="288"/>
      <c r="VKH45" s="312"/>
      <c r="VKI45" s="482"/>
      <c r="VKJ45" s="312"/>
      <c r="VKK45" s="656"/>
      <c r="VKL45" s="657"/>
      <c r="VKM45" s="656"/>
      <c r="VKN45" s="657"/>
      <c r="VKO45" s="656"/>
      <c r="VKP45" s="658"/>
      <c r="VKQ45" s="656"/>
      <c r="VKR45" s="658"/>
      <c r="VKU45" s="288"/>
      <c r="VKV45" s="312"/>
      <c r="VKW45" s="482"/>
      <c r="VKX45" s="312"/>
      <c r="VKY45" s="656"/>
      <c r="VKZ45" s="657"/>
      <c r="VLA45" s="656"/>
      <c r="VLB45" s="657"/>
      <c r="VLC45" s="656"/>
      <c r="VLD45" s="658"/>
      <c r="VLE45" s="656"/>
      <c r="VLF45" s="658"/>
      <c r="VLI45" s="288"/>
      <c r="VLJ45" s="312"/>
      <c r="VLK45" s="482"/>
      <c r="VLL45" s="312"/>
      <c r="VLM45" s="656"/>
      <c r="VLN45" s="657"/>
      <c r="VLO45" s="656"/>
      <c r="VLP45" s="657"/>
      <c r="VLQ45" s="656"/>
      <c r="VLR45" s="658"/>
      <c r="VLS45" s="656"/>
      <c r="VLT45" s="658"/>
      <c r="VLW45" s="288"/>
      <c r="VLX45" s="312"/>
      <c r="VLY45" s="482"/>
      <c r="VLZ45" s="312"/>
      <c r="VMA45" s="656"/>
      <c r="VMB45" s="657"/>
      <c r="VMC45" s="656"/>
      <c r="VMD45" s="657"/>
      <c r="VME45" s="656"/>
      <c r="VMF45" s="658"/>
      <c r="VMG45" s="656"/>
      <c r="VMH45" s="658"/>
      <c r="VMK45" s="288"/>
      <c r="VML45" s="312"/>
      <c r="VMM45" s="482"/>
      <c r="VMN45" s="312"/>
      <c r="VMO45" s="656"/>
      <c r="VMP45" s="657"/>
      <c r="VMQ45" s="656"/>
      <c r="VMR45" s="657"/>
      <c r="VMS45" s="656"/>
      <c r="VMT45" s="658"/>
      <c r="VMU45" s="656"/>
      <c r="VMV45" s="658"/>
      <c r="VMY45" s="288"/>
      <c r="VMZ45" s="312"/>
      <c r="VNA45" s="482"/>
      <c r="VNB45" s="312"/>
      <c r="VNC45" s="656"/>
      <c r="VND45" s="657"/>
      <c r="VNE45" s="656"/>
      <c r="VNF45" s="657"/>
      <c r="VNG45" s="656"/>
      <c r="VNH45" s="658"/>
      <c r="VNI45" s="656"/>
      <c r="VNJ45" s="658"/>
      <c r="VNM45" s="288"/>
      <c r="VNN45" s="312"/>
      <c r="VNO45" s="482"/>
      <c r="VNP45" s="312"/>
      <c r="VNQ45" s="656"/>
      <c r="VNR45" s="657"/>
      <c r="VNS45" s="656"/>
      <c r="VNT45" s="657"/>
      <c r="VNU45" s="656"/>
      <c r="VNV45" s="658"/>
      <c r="VNW45" s="656"/>
      <c r="VNX45" s="658"/>
      <c r="VOA45" s="288"/>
      <c r="VOB45" s="312"/>
      <c r="VOC45" s="482"/>
      <c r="VOD45" s="312"/>
      <c r="VOE45" s="656"/>
      <c r="VOF45" s="657"/>
      <c r="VOG45" s="656"/>
      <c r="VOH45" s="657"/>
      <c r="VOI45" s="656"/>
      <c r="VOJ45" s="658"/>
      <c r="VOK45" s="656"/>
      <c r="VOL45" s="658"/>
      <c r="VOO45" s="288"/>
      <c r="VOP45" s="312"/>
      <c r="VOQ45" s="482"/>
      <c r="VOR45" s="312"/>
      <c r="VOS45" s="656"/>
      <c r="VOT45" s="657"/>
      <c r="VOU45" s="656"/>
      <c r="VOV45" s="657"/>
      <c r="VOW45" s="656"/>
      <c r="VOX45" s="658"/>
      <c r="VOY45" s="656"/>
      <c r="VOZ45" s="658"/>
      <c r="VPC45" s="288"/>
      <c r="VPD45" s="312"/>
      <c r="VPE45" s="482"/>
      <c r="VPF45" s="312"/>
      <c r="VPG45" s="656"/>
      <c r="VPH45" s="657"/>
      <c r="VPI45" s="656"/>
      <c r="VPJ45" s="657"/>
      <c r="VPK45" s="656"/>
      <c r="VPL45" s="658"/>
      <c r="VPM45" s="656"/>
      <c r="VPN45" s="658"/>
      <c r="VPQ45" s="288"/>
      <c r="VPR45" s="312"/>
      <c r="VPS45" s="482"/>
      <c r="VPT45" s="312"/>
      <c r="VPU45" s="656"/>
      <c r="VPV45" s="657"/>
      <c r="VPW45" s="656"/>
      <c r="VPX45" s="657"/>
      <c r="VPY45" s="656"/>
      <c r="VPZ45" s="658"/>
      <c r="VQA45" s="656"/>
      <c r="VQB45" s="658"/>
      <c r="VQE45" s="288"/>
      <c r="VQF45" s="312"/>
      <c r="VQG45" s="482"/>
      <c r="VQH45" s="312"/>
      <c r="VQI45" s="656"/>
      <c r="VQJ45" s="657"/>
      <c r="VQK45" s="656"/>
      <c r="VQL45" s="657"/>
      <c r="VQM45" s="656"/>
      <c r="VQN45" s="658"/>
      <c r="VQO45" s="656"/>
      <c r="VQP45" s="658"/>
      <c r="VQS45" s="288"/>
      <c r="VQT45" s="312"/>
      <c r="VQU45" s="482"/>
      <c r="VQV45" s="312"/>
      <c r="VQW45" s="656"/>
      <c r="VQX45" s="657"/>
      <c r="VQY45" s="656"/>
      <c r="VQZ45" s="657"/>
      <c r="VRA45" s="656"/>
      <c r="VRB45" s="658"/>
      <c r="VRC45" s="656"/>
      <c r="VRD45" s="658"/>
      <c r="VRG45" s="288"/>
      <c r="VRH45" s="312"/>
      <c r="VRI45" s="482"/>
      <c r="VRJ45" s="312"/>
      <c r="VRK45" s="656"/>
      <c r="VRL45" s="657"/>
      <c r="VRM45" s="656"/>
      <c r="VRN45" s="657"/>
      <c r="VRO45" s="656"/>
      <c r="VRP45" s="658"/>
      <c r="VRQ45" s="656"/>
      <c r="VRR45" s="658"/>
      <c r="VRU45" s="288"/>
      <c r="VRV45" s="312"/>
      <c r="VRW45" s="482"/>
      <c r="VRX45" s="312"/>
      <c r="VRY45" s="656"/>
      <c r="VRZ45" s="657"/>
      <c r="VSA45" s="656"/>
      <c r="VSB45" s="657"/>
      <c r="VSC45" s="656"/>
      <c r="VSD45" s="658"/>
      <c r="VSE45" s="656"/>
      <c r="VSF45" s="658"/>
      <c r="VSI45" s="288"/>
      <c r="VSJ45" s="312"/>
      <c r="VSK45" s="482"/>
      <c r="VSL45" s="312"/>
      <c r="VSM45" s="656"/>
      <c r="VSN45" s="657"/>
      <c r="VSO45" s="656"/>
      <c r="VSP45" s="657"/>
      <c r="VSQ45" s="656"/>
      <c r="VSR45" s="658"/>
      <c r="VSS45" s="656"/>
      <c r="VST45" s="658"/>
      <c r="VSW45" s="288"/>
      <c r="VSX45" s="312"/>
      <c r="VSY45" s="482"/>
      <c r="VSZ45" s="312"/>
      <c r="VTA45" s="656"/>
      <c r="VTB45" s="657"/>
      <c r="VTC45" s="656"/>
      <c r="VTD45" s="657"/>
      <c r="VTE45" s="656"/>
      <c r="VTF45" s="658"/>
      <c r="VTG45" s="656"/>
      <c r="VTH45" s="658"/>
      <c r="VTK45" s="288"/>
      <c r="VTL45" s="312"/>
      <c r="VTM45" s="482"/>
      <c r="VTN45" s="312"/>
      <c r="VTO45" s="656"/>
      <c r="VTP45" s="657"/>
      <c r="VTQ45" s="656"/>
      <c r="VTR45" s="657"/>
      <c r="VTS45" s="656"/>
      <c r="VTT45" s="658"/>
      <c r="VTU45" s="656"/>
      <c r="VTV45" s="658"/>
      <c r="VTY45" s="288"/>
      <c r="VTZ45" s="312"/>
      <c r="VUA45" s="482"/>
      <c r="VUB45" s="312"/>
      <c r="VUC45" s="656"/>
      <c r="VUD45" s="657"/>
      <c r="VUE45" s="656"/>
      <c r="VUF45" s="657"/>
      <c r="VUG45" s="656"/>
      <c r="VUH45" s="658"/>
      <c r="VUI45" s="656"/>
      <c r="VUJ45" s="658"/>
      <c r="VUM45" s="288"/>
      <c r="VUN45" s="312"/>
      <c r="VUO45" s="482"/>
      <c r="VUP45" s="312"/>
      <c r="VUQ45" s="656"/>
      <c r="VUR45" s="657"/>
      <c r="VUS45" s="656"/>
      <c r="VUT45" s="657"/>
      <c r="VUU45" s="656"/>
      <c r="VUV45" s="658"/>
      <c r="VUW45" s="656"/>
      <c r="VUX45" s="658"/>
      <c r="VVA45" s="288"/>
      <c r="VVB45" s="312"/>
      <c r="VVC45" s="482"/>
      <c r="VVD45" s="312"/>
      <c r="VVE45" s="656"/>
      <c r="VVF45" s="657"/>
      <c r="VVG45" s="656"/>
      <c r="VVH45" s="657"/>
      <c r="VVI45" s="656"/>
      <c r="VVJ45" s="658"/>
      <c r="VVK45" s="656"/>
      <c r="VVL45" s="658"/>
      <c r="VVO45" s="288"/>
      <c r="VVP45" s="312"/>
      <c r="VVQ45" s="482"/>
      <c r="VVR45" s="312"/>
      <c r="VVS45" s="656"/>
      <c r="VVT45" s="657"/>
      <c r="VVU45" s="656"/>
      <c r="VVV45" s="657"/>
      <c r="VVW45" s="656"/>
      <c r="VVX45" s="658"/>
      <c r="VVY45" s="656"/>
      <c r="VVZ45" s="658"/>
      <c r="VWC45" s="288"/>
      <c r="VWD45" s="312"/>
      <c r="VWE45" s="482"/>
      <c r="VWF45" s="312"/>
      <c r="VWG45" s="656"/>
      <c r="VWH45" s="657"/>
      <c r="VWI45" s="656"/>
      <c r="VWJ45" s="657"/>
      <c r="VWK45" s="656"/>
      <c r="VWL45" s="658"/>
      <c r="VWM45" s="656"/>
      <c r="VWN45" s="658"/>
      <c r="VWQ45" s="288"/>
      <c r="VWR45" s="312"/>
      <c r="VWS45" s="482"/>
      <c r="VWT45" s="312"/>
      <c r="VWU45" s="656"/>
      <c r="VWV45" s="657"/>
      <c r="VWW45" s="656"/>
      <c r="VWX45" s="657"/>
      <c r="VWY45" s="656"/>
      <c r="VWZ45" s="658"/>
      <c r="VXA45" s="656"/>
      <c r="VXB45" s="658"/>
      <c r="VXE45" s="288"/>
      <c r="VXF45" s="312"/>
      <c r="VXG45" s="482"/>
      <c r="VXH45" s="312"/>
      <c r="VXI45" s="656"/>
      <c r="VXJ45" s="657"/>
      <c r="VXK45" s="656"/>
      <c r="VXL45" s="657"/>
      <c r="VXM45" s="656"/>
      <c r="VXN45" s="658"/>
      <c r="VXO45" s="656"/>
      <c r="VXP45" s="658"/>
      <c r="VXS45" s="288"/>
      <c r="VXT45" s="312"/>
      <c r="VXU45" s="482"/>
      <c r="VXV45" s="312"/>
      <c r="VXW45" s="656"/>
      <c r="VXX45" s="657"/>
      <c r="VXY45" s="656"/>
      <c r="VXZ45" s="657"/>
      <c r="VYA45" s="656"/>
      <c r="VYB45" s="658"/>
      <c r="VYC45" s="656"/>
      <c r="VYD45" s="658"/>
      <c r="VYG45" s="288"/>
      <c r="VYH45" s="312"/>
      <c r="VYI45" s="482"/>
      <c r="VYJ45" s="312"/>
      <c r="VYK45" s="656"/>
      <c r="VYL45" s="657"/>
      <c r="VYM45" s="656"/>
      <c r="VYN45" s="657"/>
      <c r="VYO45" s="656"/>
      <c r="VYP45" s="658"/>
      <c r="VYQ45" s="656"/>
      <c r="VYR45" s="658"/>
      <c r="VYU45" s="288"/>
      <c r="VYV45" s="312"/>
      <c r="VYW45" s="482"/>
      <c r="VYX45" s="312"/>
      <c r="VYY45" s="656"/>
      <c r="VYZ45" s="657"/>
      <c r="VZA45" s="656"/>
      <c r="VZB45" s="657"/>
      <c r="VZC45" s="656"/>
      <c r="VZD45" s="658"/>
      <c r="VZE45" s="656"/>
      <c r="VZF45" s="658"/>
      <c r="VZI45" s="288"/>
      <c r="VZJ45" s="312"/>
      <c r="VZK45" s="482"/>
      <c r="VZL45" s="312"/>
      <c r="VZM45" s="656"/>
      <c r="VZN45" s="657"/>
      <c r="VZO45" s="656"/>
      <c r="VZP45" s="657"/>
      <c r="VZQ45" s="656"/>
      <c r="VZR45" s="658"/>
      <c r="VZS45" s="656"/>
      <c r="VZT45" s="658"/>
      <c r="VZW45" s="288"/>
      <c r="VZX45" s="312"/>
      <c r="VZY45" s="482"/>
      <c r="VZZ45" s="312"/>
      <c r="WAA45" s="656"/>
      <c r="WAB45" s="657"/>
      <c r="WAC45" s="656"/>
      <c r="WAD45" s="657"/>
      <c r="WAE45" s="656"/>
      <c r="WAF45" s="658"/>
      <c r="WAG45" s="656"/>
      <c r="WAH45" s="658"/>
      <c r="WAK45" s="288"/>
      <c r="WAL45" s="312"/>
      <c r="WAM45" s="482"/>
      <c r="WAN45" s="312"/>
      <c r="WAO45" s="656"/>
      <c r="WAP45" s="657"/>
      <c r="WAQ45" s="656"/>
      <c r="WAR45" s="657"/>
      <c r="WAS45" s="656"/>
      <c r="WAT45" s="658"/>
      <c r="WAU45" s="656"/>
      <c r="WAV45" s="658"/>
      <c r="WAY45" s="288"/>
      <c r="WAZ45" s="312"/>
      <c r="WBA45" s="482"/>
      <c r="WBB45" s="312"/>
      <c r="WBC45" s="656"/>
      <c r="WBD45" s="657"/>
      <c r="WBE45" s="656"/>
      <c r="WBF45" s="657"/>
      <c r="WBG45" s="656"/>
      <c r="WBH45" s="658"/>
      <c r="WBI45" s="656"/>
      <c r="WBJ45" s="658"/>
      <c r="WBM45" s="288"/>
      <c r="WBN45" s="312"/>
      <c r="WBO45" s="482"/>
      <c r="WBP45" s="312"/>
      <c r="WBQ45" s="656"/>
      <c r="WBR45" s="657"/>
      <c r="WBS45" s="656"/>
      <c r="WBT45" s="657"/>
      <c r="WBU45" s="656"/>
      <c r="WBV45" s="658"/>
      <c r="WBW45" s="656"/>
      <c r="WBX45" s="658"/>
      <c r="WCA45" s="288"/>
      <c r="WCB45" s="312"/>
      <c r="WCC45" s="482"/>
      <c r="WCD45" s="312"/>
      <c r="WCE45" s="656"/>
      <c r="WCF45" s="657"/>
      <c r="WCG45" s="656"/>
      <c r="WCH45" s="657"/>
      <c r="WCI45" s="656"/>
      <c r="WCJ45" s="658"/>
      <c r="WCK45" s="656"/>
      <c r="WCL45" s="658"/>
      <c r="WCO45" s="288"/>
      <c r="WCP45" s="312"/>
      <c r="WCQ45" s="482"/>
      <c r="WCR45" s="312"/>
      <c r="WCS45" s="656"/>
      <c r="WCT45" s="657"/>
      <c r="WCU45" s="656"/>
      <c r="WCV45" s="657"/>
      <c r="WCW45" s="656"/>
      <c r="WCX45" s="658"/>
      <c r="WCY45" s="656"/>
      <c r="WCZ45" s="658"/>
      <c r="WDC45" s="288"/>
      <c r="WDD45" s="312"/>
      <c r="WDE45" s="482"/>
      <c r="WDF45" s="312"/>
      <c r="WDG45" s="656"/>
      <c r="WDH45" s="657"/>
      <c r="WDI45" s="656"/>
      <c r="WDJ45" s="657"/>
      <c r="WDK45" s="656"/>
      <c r="WDL45" s="658"/>
      <c r="WDM45" s="656"/>
      <c r="WDN45" s="658"/>
      <c r="WDQ45" s="288"/>
      <c r="WDR45" s="312"/>
      <c r="WDS45" s="482"/>
      <c r="WDT45" s="312"/>
      <c r="WDU45" s="656"/>
      <c r="WDV45" s="657"/>
      <c r="WDW45" s="656"/>
      <c r="WDX45" s="657"/>
      <c r="WDY45" s="656"/>
      <c r="WDZ45" s="658"/>
      <c r="WEA45" s="656"/>
      <c r="WEB45" s="658"/>
      <c r="WEE45" s="288"/>
      <c r="WEF45" s="312"/>
      <c r="WEG45" s="482"/>
      <c r="WEH45" s="312"/>
      <c r="WEI45" s="656"/>
      <c r="WEJ45" s="657"/>
      <c r="WEK45" s="656"/>
      <c r="WEL45" s="657"/>
      <c r="WEM45" s="656"/>
      <c r="WEN45" s="658"/>
      <c r="WEO45" s="656"/>
      <c r="WEP45" s="658"/>
      <c r="WES45" s="288"/>
      <c r="WET45" s="312"/>
      <c r="WEU45" s="482"/>
      <c r="WEV45" s="312"/>
      <c r="WEW45" s="656"/>
      <c r="WEX45" s="657"/>
      <c r="WEY45" s="656"/>
      <c r="WEZ45" s="657"/>
      <c r="WFA45" s="656"/>
      <c r="WFB45" s="658"/>
      <c r="WFC45" s="656"/>
      <c r="WFD45" s="658"/>
      <c r="WFG45" s="288"/>
      <c r="WFH45" s="312"/>
      <c r="WFI45" s="482"/>
      <c r="WFJ45" s="312"/>
      <c r="WFK45" s="656"/>
      <c r="WFL45" s="657"/>
      <c r="WFM45" s="656"/>
      <c r="WFN45" s="657"/>
      <c r="WFO45" s="656"/>
      <c r="WFP45" s="658"/>
      <c r="WFQ45" s="656"/>
      <c r="WFR45" s="658"/>
      <c r="WFU45" s="288"/>
      <c r="WFV45" s="312"/>
      <c r="WFW45" s="482"/>
      <c r="WFX45" s="312"/>
      <c r="WFY45" s="656"/>
      <c r="WFZ45" s="657"/>
      <c r="WGA45" s="656"/>
      <c r="WGB45" s="657"/>
      <c r="WGC45" s="656"/>
      <c r="WGD45" s="658"/>
      <c r="WGE45" s="656"/>
      <c r="WGF45" s="658"/>
      <c r="WGI45" s="288"/>
      <c r="WGJ45" s="312"/>
      <c r="WGK45" s="482"/>
      <c r="WGL45" s="312"/>
      <c r="WGM45" s="656"/>
      <c r="WGN45" s="657"/>
      <c r="WGO45" s="656"/>
      <c r="WGP45" s="657"/>
      <c r="WGQ45" s="656"/>
      <c r="WGR45" s="658"/>
      <c r="WGS45" s="656"/>
      <c r="WGT45" s="658"/>
      <c r="WGW45" s="288"/>
      <c r="WGX45" s="312"/>
      <c r="WGY45" s="482"/>
      <c r="WGZ45" s="312"/>
      <c r="WHA45" s="656"/>
      <c r="WHB45" s="657"/>
      <c r="WHC45" s="656"/>
      <c r="WHD45" s="657"/>
      <c r="WHE45" s="656"/>
      <c r="WHF45" s="658"/>
      <c r="WHG45" s="656"/>
      <c r="WHH45" s="658"/>
      <c r="WHK45" s="288"/>
      <c r="WHL45" s="312"/>
      <c r="WHM45" s="482"/>
      <c r="WHN45" s="312"/>
      <c r="WHO45" s="656"/>
      <c r="WHP45" s="657"/>
      <c r="WHQ45" s="656"/>
      <c r="WHR45" s="657"/>
      <c r="WHS45" s="656"/>
      <c r="WHT45" s="658"/>
      <c r="WHU45" s="656"/>
      <c r="WHV45" s="658"/>
      <c r="WHY45" s="288"/>
      <c r="WHZ45" s="312"/>
      <c r="WIA45" s="482"/>
      <c r="WIB45" s="312"/>
      <c r="WIC45" s="656"/>
      <c r="WID45" s="657"/>
      <c r="WIE45" s="656"/>
      <c r="WIF45" s="657"/>
      <c r="WIG45" s="656"/>
      <c r="WIH45" s="658"/>
      <c r="WII45" s="656"/>
      <c r="WIJ45" s="658"/>
      <c r="WIM45" s="288"/>
      <c r="WIN45" s="312"/>
      <c r="WIO45" s="482"/>
      <c r="WIP45" s="312"/>
      <c r="WIQ45" s="656"/>
      <c r="WIR45" s="657"/>
      <c r="WIS45" s="656"/>
      <c r="WIT45" s="657"/>
      <c r="WIU45" s="656"/>
      <c r="WIV45" s="658"/>
      <c r="WIW45" s="656"/>
      <c r="WIX45" s="658"/>
      <c r="WJA45" s="288"/>
      <c r="WJB45" s="312"/>
      <c r="WJC45" s="482"/>
      <c r="WJD45" s="312"/>
      <c r="WJE45" s="656"/>
      <c r="WJF45" s="657"/>
      <c r="WJG45" s="656"/>
      <c r="WJH45" s="657"/>
      <c r="WJI45" s="656"/>
      <c r="WJJ45" s="658"/>
      <c r="WJK45" s="656"/>
      <c r="WJL45" s="658"/>
      <c r="WJO45" s="288"/>
      <c r="WJP45" s="312"/>
      <c r="WJQ45" s="482"/>
      <c r="WJR45" s="312"/>
      <c r="WJS45" s="656"/>
      <c r="WJT45" s="657"/>
      <c r="WJU45" s="656"/>
      <c r="WJV45" s="657"/>
      <c r="WJW45" s="656"/>
      <c r="WJX45" s="658"/>
      <c r="WJY45" s="656"/>
      <c r="WJZ45" s="658"/>
      <c r="WKC45" s="288"/>
      <c r="WKD45" s="312"/>
      <c r="WKE45" s="482"/>
      <c r="WKF45" s="312"/>
      <c r="WKG45" s="656"/>
      <c r="WKH45" s="657"/>
      <c r="WKI45" s="656"/>
      <c r="WKJ45" s="657"/>
      <c r="WKK45" s="656"/>
      <c r="WKL45" s="658"/>
      <c r="WKM45" s="656"/>
      <c r="WKN45" s="658"/>
      <c r="WKQ45" s="288"/>
      <c r="WKR45" s="312"/>
      <c r="WKS45" s="482"/>
      <c r="WKT45" s="312"/>
      <c r="WKU45" s="656"/>
      <c r="WKV45" s="657"/>
      <c r="WKW45" s="656"/>
      <c r="WKX45" s="657"/>
      <c r="WKY45" s="656"/>
      <c r="WKZ45" s="658"/>
      <c r="WLA45" s="656"/>
      <c r="WLB45" s="658"/>
      <c r="WLE45" s="288"/>
      <c r="WLF45" s="312"/>
      <c r="WLG45" s="482"/>
      <c r="WLH45" s="312"/>
      <c r="WLI45" s="656"/>
      <c r="WLJ45" s="657"/>
      <c r="WLK45" s="656"/>
      <c r="WLL45" s="657"/>
      <c r="WLM45" s="656"/>
      <c r="WLN45" s="658"/>
      <c r="WLO45" s="656"/>
      <c r="WLP45" s="658"/>
      <c r="WLS45" s="288"/>
      <c r="WLT45" s="312"/>
      <c r="WLU45" s="482"/>
      <c r="WLV45" s="312"/>
      <c r="WLW45" s="656"/>
      <c r="WLX45" s="657"/>
      <c r="WLY45" s="656"/>
      <c r="WLZ45" s="657"/>
      <c r="WMA45" s="656"/>
      <c r="WMB45" s="658"/>
      <c r="WMC45" s="656"/>
      <c r="WMD45" s="658"/>
      <c r="WMG45" s="288"/>
      <c r="WMH45" s="312"/>
      <c r="WMI45" s="482"/>
      <c r="WMJ45" s="312"/>
      <c r="WMK45" s="656"/>
      <c r="WML45" s="657"/>
      <c r="WMM45" s="656"/>
      <c r="WMN45" s="657"/>
      <c r="WMO45" s="656"/>
      <c r="WMP45" s="658"/>
      <c r="WMQ45" s="656"/>
      <c r="WMR45" s="658"/>
      <c r="WMU45" s="288"/>
      <c r="WMV45" s="312"/>
      <c r="WMW45" s="482"/>
      <c r="WMX45" s="312"/>
      <c r="WMY45" s="656"/>
      <c r="WMZ45" s="657"/>
      <c r="WNA45" s="656"/>
      <c r="WNB45" s="657"/>
      <c r="WNC45" s="656"/>
      <c r="WND45" s="658"/>
      <c r="WNE45" s="656"/>
      <c r="WNF45" s="658"/>
      <c r="WNI45" s="288"/>
      <c r="WNJ45" s="312"/>
      <c r="WNK45" s="482"/>
      <c r="WNL45" s="312"/>
      <c r="WNM45" s="656"/>
      <c r="WNN45" s="657"/>
      <c r="WNO45" s="656"/>
      <c r="WNP45" s="657"/>
      <c r="WNQ45" s="656"/>
      <c r="WNR45" s="658"/>
      <c r="WNS45" s="656"/>
      <c r="WNT45" s="658"/>
      <c r="WNW45" s="288"/>
      <c r="WNX45" s="312"/>
      <c r="WNY45" s="482"/>
      <c r="WNZ45" s="312"/>
      <c r="WOA45" s="656"/>
      <c r="WOB45" s="657"/>
      <c r="WOC45" s="656"/>
      <c r="WOD45" s="657"/>
      <c r="WOE45" s="656"/>
      <c r="WOF45" s="658"/>
      <c r="WOG45" s="656"/>
      <c r="WOH45" s="658"/>
      <c r="WOK45" s="288"/>
      <c r="WOL45" s="312"/>
      <c r="WOM45" s="482"/>
      <c r="WON45" s="312"/>
      <c r="WOO45" s="656"/>
      <c r="WOP45" s="657"/>
      <c r="WOQ45" s="656"/>
      <c r="WOR45" s="657"/>
      <c r="WOS45" s="656"/>
      <c r="WOT45" s="658"/>
      <c r="WOU45" s="656"/>
      <c r="WOV45" s="658"/>
      <c r="WOY45" s="288"/>
      <c r="WOZ45" s="312"/>
      <c r="WPA45" s="482"/>
      <c r="WPB45" s="312"/>
      <c r="WPC45" s="656"/>
      <c r="WPD45" s="657"/>
      <c r="WPE45" s="656"/>
      <c r="WPF45" s="657"/>
      <c r="WPG45" s="656"/>
      <c r="WPH45" s="658"/>
      <c r="WPI45" s="656"/>
      <c r="WPJ45" s="658"/>
      <c r="WPM45" s="288"/>
      <c r="WPN45" s="312"/>
      <c r="WPO45" s="482"/>
      <c r="WPP45" s="312"/>
      <c r="WPQ45" s="656"/>
      <c r="WPR45" s="657"/>
      <c r="WPS45" s="656"/>
      <c r="WPT45" s="657"/>
      <c r="WPU45" s="656"/>
      <c r="WPV45" s="658"/>
      <c r="WPW45" s="656"/>
      <c r="WPX45" s="658"/>
      <c r="WQA45" s="288"/>
      <c r="WQB45" s="312"/>
      <c r="WQC45" s="482"/>
      <c r="WQD45" s="312"/>
      <c r="WQE45" s="656"/>
      <c r="WQF45" s="657"/>
      <c r="WQG45" s="656"/>
      <c r="WQH45" s="657"/>
      <c r="WQI45" s="656"/>
      <c r="WQJ45" s="658"/>
      <c r="WQK45" s="656"/>
      <c r="WQL45" s="658"/>
      <c r="WQO45" s="288"/>
      <c r="WQP45" s="312"/>
      <c r="WQQ45" s="482"/>
      <c r="WQR45" s="312"/>
      <c r="WQS45" s="656"/>
      <c r="WQT45" s="657"/>
      <c r="WQU45" s="656"/>
      <c r="WQV45" s="657"/>
      <c r="WQW45" s="656"/>
      <c r="WQX45" s="658"/>
      <c r="WQY45" s="656"/>
      <c r="WQZ45" s="658"/>
      <c r="WRC45" s="288"/>
      <c r="WRD45" s="312"/>
      <c r="WRE45" s="482"/>
      <c r="WRF45" s="312"/>
      <c r="WRG45" s="656"/>
      <c r="WRH45" s="657"/>
      <c r="WRI45" s="656"/>
      <c r="WRJ45" s="657"/>
      <c r="WRK45" s="656"/>
      <c r="WRL45" s="658"/>
      <c r="WRM45" s="656"/>
      <c r="WRN45" s="658"/>
      <c r="WRQ45" s="288"/>
      <c r="WRR45" s="312"/>
      <c r="WRS45" s="482"/>
      <c r="WRT45" s="312"/>
      <c r="WRU45" s="656"/>
      <c r="WRV45" s="657"/>
      <c r="WRW45" s="656"/>
      <c r="WRX45" s="657"/>
      <c r="WRY45" s="656"/>
      <c r="WRZ45" s="658"/>
      <c r="WSA45" s="656"/>
      <c r="WSB45" s="658"/>
      <c r="WSE45" s="288"/>
      <c r="WSF45" s="312"/>
      <c r="WSG45" s="482"/>
      <c r="WSH45" s="312"/>
      <c r="WSI45" s="656"/>
      <c r="WSJ45" s="657"/>
      <c r="WSK45" s="656"/>
      <c r="WSL45" s="657"/>
      <c r="WSM45" s="656"/>
      <c r="WSN45" s="658"/>
      <c r="WSO45" s="656"/>
      <c r="WSP45" s="658"/>
      <c r="WSS45" s="288"/>
      <c r="WST45" s="312"/>
      <c r="WSU45" s="482"/>
      <c r="WSV45" s="312"/>
      <c r="WSW45" s="656"/>
      <c r="WSX45" s="657"/>
      <c r="WSY45" s="656"/>
      <c r="WSZ45" s="657"/>
      <c r="WTA45" s="656"/>
      <c r="WTB45" s="658"/>
      <c r="WTC45" s="656"/>
      <c r="WTD45" s="658"/>
      <c r="WTG45" s="288"/>
      <c r="WTH45" s="312"/>
      <c r="WTI45" s="482"/>
      <c r="WTJ45" s="312"/>
      <c r="WTK45" s="656"/>
      <c r="WTL45" s="657"/>
      <c r="WTM45" s="656"/>
      <c r="WTN45" s="657"/>
      <c r="WTO45" s="656"/>
      <c r="WTP45" s="658"/>
      <c r="WTQ45" s="656"/>
      <c r="WTR45" s="658"/>
      <c r="WTU45" s="288"/>
      <c r="WTV45" s="312"/>
      <c r="WTW45" s="482"/>
      <c r="WTX45" s="312"/>
      <c r="WTY45" s="656"/>
      <c r="WTZ45" s="657"/>
      <c r="WUA45" s="656"/>
      <c r="WUB45" s="657"/>
      <c r="WUC45" s="656"/>
      <c r="WUD45" s="658"/>
      <c r="WUE45" s="656"/>
      <c r="WUF45" s="658"/>
      <c r="WUI45" s="288"/>
      <c r="WUJ45" s="312"/>
      <c r="WUK45" s="482"/>
      <c r="WUL45" s="312"/>
      <c r="WUM45" s="656"/>
      <c r="WUN45" s="657"/>
      <c r="WUO45" s="656"/>
      <c r="WUP45" s="657"/>
      <c r="WUQ45" s="656"/>
      <c r="WUR45" s="658"/>
      <c r="WUS45" s="656"/>
      <c r="WUT45" s="658"/>
      <c r="WUW45" s="288"/>
      <c r="WUX45" s="312"/>
      <c r="WUY45" s="482"/>
      <c r="WUZ45" s="312"/>
      <c r="WVA45" s="656"/>
      <c r="WVB45" s="657"/>
      <c r="WVC45" s="656"/>
      <c r="WVD45" s="657"/>
      <c r="WVE45" s="656"/>
      <c r="WVF45" s="658"/>
      <c r="WVG45" s="656"/>
      <c r="WVH45" s="658"/>
      <c r="WVK45" s="288"/>
      <c r="WVL45" s="312"/>
      <c r="WVM45" s="482"/>
      <c r="WVN45" s="312"/>
      <c r="WVO45" s="656"/>
      <c r="WVP45" s="657"/>
      <c r="WVQ45" s="656"/>
      <c r="WVR45" s="657"/>
      <c r="WVS45" s="656"/>
      <c r="WVT45" s="658"/>
      <c r="WVU45" s="656"/>
      <c r="WVV45" s="658"/>
      <c r="WVY45" s="288"/>
      <c r="WVZ45" s="312"/>
      <c r="WWA45" s="482"/>
      <c r="WWB45" s="312"/>
      <c r="WWC45" s="656"/>
      <c r="WWD45" s="657"/>
      <c r="WWE45" s="656"/>
      <c r="WWF45" s="657"/>
      <c r="WWG45" s="656"/>
      <c r="WWH45" s="658"/>
      <c r="WWI45" s="656"/>
      <c r="WWJ45" s="658"/>
      <c r="WWM45" s="288"/>
      <c r="WWN45" s="312"/>
      <c r="WWO45" s="482"/>
      <c r="WWP45" s="312"/>
      <c r="WWQ45" s="656"/>
      <c r="WWR45" s="657"/>
      <c r="WWS45" s="656"/>
      <c r="WWT45" s="657"/>
      <c r="WWU45" s="656"/>
      <c r="WWV45" s="658"/>
      <c r="WWW45" s="656"/>
      <c r="WWX45" s="658"/>
      <c r="WXA45" s="288"/>
      <c r="WXB45" s="312"/>
      <c r="WXC45" s="482"/>
      <c r="WXD45" s="312"/>
      <c r="WXE45" s="656"/>
      <c r="WXF45" s="657"/>
      <c r="WXG45" s="656"/>
      <c r="WXH45" s="657"/>
      <c r="WXI45" s="656"/>
      <c r="WXJ45" s="658"/>
      <c r="WXK45" s="656"/>
      <c r="WXL45" s="658"/>
      <c r="WXO45" s="288"/>
      <c r="WXP45" s="312"/>
      <c r="WXQ45" s="482"/>
      <c r="WXR45" s="312"/>
      <c r="WXS45" s="656"/>
      <c r="WXT45" s="657"/>
      <c r="WXU45" s="656"/>
      <c r="WXV45" s="657"/>
      <c r="WXW45" s="656"/>
      <c r="WXX45" s="658"/>
      <c r="WXY45" s="656"/>
      <c r="WXZ45" s="658"/>
      <c r="WYC45" s="288"/>
      <c r="WYD45" s="312"/>
      <c r="WYE45" s="482"/>
      <c r="WYF45" s="312"/>
      <c r="WYG45" s="656"/>
      <c r="WYH45" s="657"/>
      <c r="WYI45" s="656"/>
      <c r="WYJ45" s="657"/>
      <c r="WYK45" s="656"/>
      <c r="WYL45" s="658"/>
      <c r="WYM45" s="656"/>
      <c r="WYN45" s="658"/>
      <c r="WYQ45" s="288"/>
      <c r="WYR45" s="312"/>
      <c r="WYS45" s="482"/>
      <c r="WYT45" s="312"/>
      <c r="WYU45" s="656"/>
      <c r="WYV45" s="657"/>
      <c r="WYW45" s="656"/>
      <c r="WYX45" s="657"/>
      <c r="WYY45" s="656"/>
      <c r="WYZ45" s="658"/>
      <c r="WZA45" s="656"/>
      <c r="WZB45" s="658"/>
      <c r="WZE45" s="288"/>
      <c r="WZF45" s="312"/>
      <c r="WZG45" s="482"/>
      <c r="WZH45" s="312"/>
      <c r="WZI45" s="656"/>
      <c r="WZJ45" s="657"/>
      <c r="WZK45" s="656"/>
      <c r="WZL45" s="657"/>
      <c r="WZM45" s="656"/>
      <c r="WZN45" s="658"/>
      <c r="WZO45" s="656"/>
      <c r="WZP45" s="658"/>
      <c r="WZS45" s="288"/>
      <c r="WZT45" s="312"/>
      <c r="WZU45" s="482"/>
      <c r="WZV45" s="312"/>
      <c r="WZW45" s="656"/>
      <c r="WZX45" s="657"/>
      <c r="WZY45" s="656"/>
      <c r="WZZ45" s="657"/>
      <c r="XAA45" s="656"/>
      <c r="XAB45" s="658"/>
      <c r="XAC45" s="656"/>
      <c r="XAD45" s="658"/>
      <c r="XAG45" s="288"/>
      <c r="XAH45" s="312"/>
      <c r="XAI45" s="482"/>
      <c r="XAJ45" s="312"/>
      <c r="XAK45" s="656"/>
      <c r="XAL45" s="657"/>
      <c r="XAM45" s="656"/>
      <c r="XAN45" s="657"/>
      <c r="XAO45" s="656"/>
      <c r="XAP45" s="658"/>
      <c r="XAQ45" s="656"/>
      <c r="XAR45" s="658"/>
      <c r="XAU45" s="288"/>
      <c r="XAV45" s="312"/>
      <c r="XAW45" s="482"/>
      <c r="XAX45" s="312"/>
      <c r="XAY45" s="656"/>
      <c r="XAZ45" s="657"/>
      <c r="XBA45" s="656"/>
      <c r="XBB45" s="657"/>
      <c r="XBC45" s="656"/>
      <c r="XBD45" s="658"/>
      <c r="XBE45" s="656"/>
      <c r="XBF45" s="658"/>
      <c r="XBI45" s="288"/>
      <c r="XBJ45" s="312"/>
      <c r="XBK45" s="482"/>
      <c r="XBL45" s="312"/>
      <c r="XBM45" s="656"/>
      <c r="XBN45" s="657"/>
      <c r="XBO45" s="656"/>
      <c r="XBP45" s="657"/>
      <c r="XBQ45" s="656"/>
      <c r="XBR45" s="658"/>
      <c r="XBS45" s="656"/>
      <c r="XBT45" s="658"/>
      <c r="XBW45" s="288"/>
      <c r="XBX45" s="312"/>
      <c r="XBY45" s="482"/>
      <c r="XBZ45" s="312"/>
      <c r="XCA45" s="656"/>
      <c r="XCB45" s="657"/>
      <c r="XCC45" s="656"/>
      <c r="XCD45" s="657"/>
      <c r="XCE45" s="656"/>
      <c r="XCF45" s="658"/>
      <c r="XCG45" s="656"/>
      <c r="XCH45" s="658"/>
      <c r="XCK45" s="288"/>
      <c r="XCL45" s="312"/>
      <c r="XCM45" s="482"/>
      <c r="XCN45" s="312"/>
      <c r="XCO45" s="656"/>
      <c r="XCP45" s="657"/>
      <c r="XCQ45" s="656"/>
      <c r="XCR45" s="657"/>
      <c r="XCS45" s="656"/>
      <c r="XCT45" s="658"/>
      <c r="XCU45" s="656"/>
      <c r="XCV45" s="658"/>
      <c r="XCY45" s="288"/>
      <c r="XCZ45" s="312"/>
      <c r="XDA45" s="482"/>
      <c r="XDB45" s="312"/>
      <c r="XDC45" s="656"/>
      <c r="XDD45" s="657"/>
      <c r="XDE45" s="656"/>
      <c r="XDF45" s="657"/>
      <c r="XDG45" s="656"/>
      <c r="XDH45" s="658"/>
      <c r="XDI45" s="656"/>
      <c r="XDJ45" s="658"/>
      <c r="XDM45" s="288"/>
      <c r="XDN45" s="312"/>
      <c r="XDO45" s="482"/>
      <c r="XDP45" s="312"/>
      <c r="XDQ45" s="656"/>
      <c r="XDR45" s="657"/>
      <c r="XDS45" s="656"/>
      <c r="XDT45" s="657"/>
      <c r="XDU45" s="656"/>
      <c r="XDV45" s="658"/>
      <c r="XDW45" s="656"/>
      <c r="XDX45" s="658"/>
      <c r="XEA45" s="288"/>
      <c r="XEB45" s="312"/>
      <c r="XEC45" s="482"/>
      <c r="XED45" s="312"/>
      <c r="XEE45" s="656"/>
      <c r="XEF45" s="657"/>
      <c r="XEG45" s="656"/>
      <c r="XEH45" s="657"/>
      <c r="XEI45" s="656"/>
      <c r="XEJ45" s="658"/>
      <c r="XEK45" s="656"/>
      <c r="XEL45" s="658"/>
      <c r="XEO45" s="288"/>
      <c r="XEP45" s="312"/>
      <c r="XEQ45" s="482"/>
      <c r="XER45" s="312"/>
      <c r="XES45" s="656"/>
      <c r="XET45" s="657"/>
      <c r="XEU45" s="656"/>
      <c r="XEV45" s="657"/>
      <c r="XEW45" s="656"/>
      <c r="XEX45" s="658"/>
      <c r="XEY45" s="656"/>
      <c r="XEZ45" s="658"/>
      <c r="XFC45" s="288"/>
      <c r="XFD45" s="312"/>
    </row>
    <row r="46" spans="1:1022 1025:7168 7171:8190 8193:14336 14339:15358 15361:16384">
      <c r="B46" t="s">
        <v>631</v>
      </c>
      <c r="C46" s="288">
        <f t="shared" ref="C46" si="7">+G46+I46</f>
        <v>13</v>
      </c>
      <c r="D46" s="312">
        <f>+Tabelle54[[#This Row],[Number of Contracts]]/$C$50</f>
        <v>3.4724077140872912E-4</v>
      </c>
      <c r="E46" s="482">
        <f t="shared" ref="E46" si="8">+H46+J46</f>
        <v>312057.71000000002</v>
      </c>
      <c r="F46" s="312">
        <f>+Tabelle54[[#This Row],[Outstanding Discounted Principal Balance]]/$E$50</f>
        <v>4.6663386227277227E-4</v>
      </c>
      <c r="G46" s="656">
        <v>13</v>
      </c>
      <c r="H46" s="657">
        <v>312057.71000000002</v>
      </c>
      <c r="I46" s="656">
        <v>0</v>
      </c>
      <c r="J46" s="657">
        <v>0</v>
      </c>
      <c r="K46" s="656">
        <v>9</v>
      </c>
      <c r="L46" s="658">
        <v>245126.77</v>
      </c>
      <c r="M46" s="656">
        <v>4</v>
      </c>
      <c r="N46" s="658">
        <v>66930.94</v>
      </c>
      <c r="Q46" s="288"/>
      <c r="R46" s="312"/>
      <c r="S46" s="482"/>
      <c r="T46" s="312"/>
      <c r="U46" s="656"/>
      <c r="V46" s="657"/>
      <c r="W46" s="656"/>
      <c r="X46" s="657"/>
      <c r="Y46" s="656"/>
      <c r="Z46" s="658"/>
      <c r="AA46" s="656"/>
      <c r="AB46" s="658"/>
      <c r="AE46" s="288"/>
      <c r="AF46" s="312"/>
      <c r="AG46" s="482"/>
      <c r="AH46" s="312"/>
      <c r="AI46" s="656"/>
      <c r="AJ46" s="657"/>
      <c r="AK46" s="656"/>
      <c r="AL46" s="657"/>
      <c r="AM46" s="656"/>
      <c r="AN46" s="658"/>
      <c r="AO46" s="656"/>
      <c r="AP46" s="658"/>
      <c r="AS46" s="288"/>
      <c r="AT46" s="312"/>
      <c r="AU46" s="482"/>
      <c r="AV46" s="312"/>
      <c r="AW46" s="656"/>
      <c r="AX46" s="657"/>
      <c r="AY46" s="656"/>
      <c r="AZ46" s="657"/>
      <c r="BA46" s="656"/>
      <c r="BB46" s="658"/>
      <c r="BC46" s="656"/>
      <c r="BD46" s="658"/>
      <c r="BG46" s="288"/>
      <c r="BH46" s="312"/>
      <c r="BI46" s="482"/>
      <c r="BJ46" s="312"/>
      <c r="BK46" s="656"/>
      <c r="BL46" s="657"/>
      <c r="BM46" s="656"/>
      <c r="BN46" s="657"/>
      <c r="BO46" s="656"/>
      <c r="BP46" s="658"/>
      <c r="BQ46" s="656"/>
      <c r="BR46" s="658"/>
      <c r="BU46" s="288"/>
      <c r="BV46" s="312"/>
      <c r="BW46" s="482"/>
      <c r="BX46" s="312"/>
      <c r="BY46" s="656"/>
      <c r="BZ46" s="657"/>
      <c r="CA46" s="656"/>
      <c r="CB46" s="657"/>
      <c r="CC46" s="656"/>
      <c r="CD46" s="658"/>
      <c r="CE46" s="656"/>
      <c r="CF46" s="658"/>
      <c r="CI46" s="288"/>
      <c r="CJ46" s="312"/>
      <c r="CK46" s="482"/>
      <c r="CL46" s="312"/>
      <c r="CM46" s="656"/>
      <c r="CN46" s="657"/>
      <c r="CO46" s="656"/>
      <c r="CP46" s="657"/>
      <c r="CQ46" s="656"/>
      <c r="CR46" s="658"/>
      <c r="CS46" s="656"/>
      <c r="CT46" s="658"/>
      <c r="CW46" s="288"/>
      <c r="CX46" s="312"/>
      <c r="CY46" s="482"/>
      <c r="CZ46" s="312"/>
      <c r="DA46" s="656"/>
      <c r="DB46" s="657"/>
      <c r="DC46" s="656"/>
      <c r="DD46" s="657"/>
      <c r="DE46" s="656"/>
      <c r="DF46" s="658"/>
      <c r="DG46" s="656"/>
      <c r="DH46" s="658"/>
      <c r="DK46" s="288"/>
      <c r="DL46" s="312"/>
      <c r="DM46" s="482"/>
      <c r="DN46" s="312"/>
      <c r="DO46" s="656"/>
      <c r="DP46" s="657"/>
      <c r="DQ46" s="656"/>
      <c r="DR46" s="657"/>
      <c r="DS46" s="656"/>
      <c r="DT46" s="658"/>
      <c r="DU46" s="656"/>
      <c r="DV46" s="658"/>
      <c r="DY46" s="288"/>
      <c r="DZ46" s="312"/>
      <c r="EA46" s="482"/>
      <c r="EB46" s="312"/>
      <c r="EC46" s="656"/>
      <c r="ED46" s="657"/>
      <c r="EE46" s="656"/>
      <c r="EF46" s="657"/>
      <c r="EG46" s="656"/>
      <c r="EH46" s="658"/>
      <c r="EI46" s="656"/>
      <c r="EJ46" s="658"/>
      <c r="EM46" s="288"/>
      <c r="EN46" s="312"/>
      <c r="EO46" s="482"/>
      <c r="EP46" s="312"/>
      <c r="EQ46" s="656"/>
      <c r="ER46" s="657"/>
      <c r="ES46" s="656"/>
      <c r="ET46" s="657"/>
      <c r="EU46" s="656"/>
      <c r="EV46" s="658"/>
      <c r="EW46" s="656"/>
      <c r="EX46" s="658"/>
      <c r="FA46" s="288"/>
      <c r="FB46" s="312"/>
      <c r="FC46" s="482"/>
      <c r="FD46" s="312"/>
      <c r="FE46" s="656"/>
      <c r="FF46" s="657"/>
      <c r="FG46" s="656"/>
      <c r="FH46" s="657"/>
      <c r="FI46" s="656"/>
      <c r="FJ46" s="658"/>
      <c r="FK46" s="656"/>
      <c r="FL46" s="658"/>
      <c r="FO46" s="288"/>
      <c r="FP46" s="312"/>
      <c r="FQ46" s="482"/>
      <c r="FR46" s="312"/>
      <c r="FS46" s="656"/>
      <c r="FT46" s="657"/>
      <c r="FU46" s="656"/>
      <c r="FV46" s="657"/>
      <c r="FW46" s="656"/>
      <c r="FX46" s="658"/>
      <c r="FY46" s="656"/>
      <c r="FZ46" s="658"/>
      <c r="GC46" s="288"/>
      <c r="GD46" s="312"/>
      <c r="GE46" s="482"/>
      <c r="GF46" s="312"/>
      <c r="GG46" s="656"/>
      <c r="GH46" s="657"/>
      <c r="GI46" s="656"/>
      <c r="GJ46" s="657"/>
      <c r="GK46" s="656"/>
      <c r="GL46" s="658"/>
      <c r="GM46" s="656"/>
      <c r="GN46" s="658"/>
      <c r="GQ46" s="288"/>
      <c r="GR46" s="312"/>
      <c r="GS46" s="482"/>
      <c r="GT46" s="312"/>
      <c r="GU46" s="656"/>
      <c r="GV46" s="657"/>
      <c r="GW46" s="656"/>
      <c r="GX46" s="657"/>
      <c r="GY46" s="656"/>
      <c r="GZ46" s="658"/>
      <c r="HA46" s="656"/>
      <c r="HB46" s="658"/>
      <c r="HE46" s="288"/>
      <c r="HF46" s="312"/>
      <c r="HG46" s="482"/>
      <c r="HH46" s="312"/>
      <c r="HI46" s="656"/>
      <c r="HJ46" s="657"/>
      <c r="HK46" s="656"/>
      <c r="HL46" s="657"/>
      <c r="HM46" s="656"/>
      <c r="HN46" s="658"/>
      <c r="HO46" s="656"/>
      <c r="HP46" s="658"/>
      <c r="HS46" s="288"/>
      <c r="HT46" s="312"/>
      <c r="HU46" s="482"/>
      <c r="HV46" s="312"/>
      <c r="HW46" s="656"/>
      <c r="HX46" s="657"/>
      <c r="HY46" s="656"/>
      <c r="HZ46" s="657"/>
      <c r="IA46" s="656"/>
      <c r="IB46" s="658"/>
      <c r="IC46" s="656"/>
      <c r="ID46" s="658"/>
      <c r="IG46" s="288"/>
      <c r="IH46" s="312"/>
      <c r="II46" s="482"/>
      <c r="IJ46" s="312"/>
      <c r="IK46" s="656"/>
      <c r="IL46" s="657"/>
      <c r="IM46" s="656"/>
      <c r="IN46" s="657"/>
      <c r="IO46" s="656"/>
      <c r="IP46" s="658"/>
      <c r="IQ46" s="656"/>
      <c r="IR46" s="658"/>
      <c r="IU46" s="288"/>
      <c r="IV46" s="312"/>
      <c r="IW46" s="482"/>
      <c r="IX46" s="312"/>
      <c r="IY46" s="656"/>
      <c r="IZ46" s="657"/>
      <c r="JA46" s="656"/>
      <c r="JB46" s="657"/>
      <c r="JC46" s="656"/>
      <c r="JD46" s="658"/>
      <c r="JE46" s="656"/>
      <c r="JF46" s="658"/>
      <c r="JI46" s="288"/>
      <c r="JJ46" s="312"/>
      <c r="JK46" s="482"/>
      <c r="JL46" s="312"/>
      <c r="JM46" s="656"/>
      <c r="JN46" s="657"/>
      <c r="JO46" s="656"/>
      <c r="JP46" s="657"/>
      <c r="JQ46" s="656"/>
      <c r="JR46" s="658"/>
      <c r="JS46" s="656"/>
      <c r="JT46" s="658"/>
      <c r="JW46" s="288"/>
      <c r="JX46" s="312"/>
      <c r="JY46" s="482"/>
      <c r="JZ46" s="312"/>
      <c r="KA46" s="656"/>
      <c r="KB46" s="657"/>
      <c r="KC46" s="656"/>
      <c r="KD46" s="657"/>
      <c r="KE46" s="656"/>
      <c r="KF46" s="658"/>
      <c r="KG46" s="656"/>
      <c r="KH46" s="658"/>
      <c r="KK46" s="288"/>
      <c r="KL46" s="312"/>
      <c r="KM46" s="482"/>
      <c r="KN46" s="312"/>
      <c r="KO46" s="656"/>
      <c r="KP46" s="657"/>
      <c r="KQ46" s="656"/>
      <c r="KR46" s="657"/>
      <c r="KS46" s="656"/>
      <c r="KT46" s="658"/>
      <c r="KU46" s="656"/>
      <c r="KV46" s="658"/>
      <c r="KY46" s="288"/>
      <c r="KZ46" s="312"/>
      <c r="LA46" s="482"/>
      <c r="LB46" s="312"/>
      <c r="LC46" s="656"/>
      <c r="LD46" s="657"/>
      <c r="LE46" s="656"/>
      <c r="LF46" s="657"/>
      <c r="LG46" s="656"/>
      <c r="LH46" s="658"/>
      <c r="LI46" s="656"/>
      <c r="LJ46" s="658"/>
      <c r="LM46" s="288"/>
      <c r="LN46" s="312"/>
      <c r="LO46" s="482"/>
      <c r="LP46" s="312"/>
      <c r="LQ46" s="656"/>
      <c r="LR46" s="657"/>
      <c r="LS46" s="656"/>
      <c r="LT46" s="657"/>
      <c r="LU46" s="656"/>
      <c r="LV46" s="658"/>
      <c r="LW46" s="656"/>
      <c r="LX46" s="658"/>
      <c r="MA46" s="288"/>
      <c r="MB46" s="312"/>
      <c r="MC46" s="482"/>
      <c r="MD46" s="312"/>
      <c r="ME46" s="656"/>
      <c r="MF46" s="657"/>
      <c r="MG46" s="656"/>
      <c r="MH46" s="657"/>
      <c r="MI46" s="656"/>
      <c r="MJ46" s="658"/>
      <c r="MK46" s="656"/>
      <c r="ML46" s="658"/>
      <c r="MO46" s="288"/>
      <c r="MP46" s="312"/>
      <c r="MQ46" s="482"/>
      <c r="MR46" s="312"/>
      <c r="MS46" s="656"/>
      <c r="MT46" s="657"/>
      <c r="MU46" s="656"/>
      <c r="MV46" s="657"/>
      <c r="MW46" s="656"/>
      <c r="MX46" s="658"/>
      <c r="MY46" s="656"/>
      <c r="MZ46" s="658"/>
      <c r="NC46" s="288"/>
      <c r="ND46" s="312"/>
      <c r="NE46" s="482"/>
      <c r="NF46" s="312"/>
      <c r="NG46" s="656"/>
      <c r="NH46" s="657"/>
      <c r="NI46" s="656"/>
      <c r="NJ46" s="657"/>
      <c r="NK46" s="656"/>
      <c r="NL46" s="658"/>
      <c r="NM46" s="656"/>
      <c r="NN46" s="658"/>
      <c r="NQ46" s="288"/>
      <c r="NR46" s="312"/>
      <c r="NS46" s="482"/>
      <c r="NT46" s="312"/>
      <c r="NU46" s="656"/>
      <c r="NV46" s="657"/>
      <c r="NW46" s="656"/>
      <c r="NX46" s="657"/>
      <c r="NY46" s="656"/>
      <c r="NZ46" s="658"/>
      <c r="OA46" s="656"/>
      <c r="OB46" s="658"/>
      <c r="OE46" s="288"/>
      <c r="OF46" s="312"/>
      <c r="OG46" s="482"/>
      <c r="OH46" s="312"/>
      <c r="OI46" s="656"/>
      <c r="OJ46" s="657"/>
      <c r="OK46" s="656"/>
      <c r="OL46" s="657"/>
      <c r="OM46" s="656"/>
      <c r="ON46" s="658"/>
      <c r="OO46" s="656"/>
      <c r="OP46" s="658"/>
      <c r="OS46" s="288"/>
      <c r="OT46" s="312"/>
      <c r="OU46" s="482"/>
      <c r="OV46" s="312"/>
      <c r="OW46" s="656"/>
      <c r="OX46" s="657"/>
      <c r="OY46" s="656"/>
      <c r="OZ46" s="657"/>
      <c r="PA46" s="656"/>
      <c r="PB46" s="658"/>
      <c r="PC46" s="656"/>
      <c r="PD46" s="658"/>
      <c r="PG46" s="288"/>
      <c r="PH46" s="312"/>
      <c r="PI46" s="482"/>
      <c r="PJ46" s="312"/>
      <c r="PK46" s="656"/>
      <c r="PL46" s="657"/>
      <c r="PM46" s="656"/>
      <c r="PN46" s="657"/>
      <c r="PO46" s="656"/>
      <c r="PP46" s="658"/>
      <c r="PQ46" s="656"/>
      <c r="PR46" s="658"/>
      <c r="PU46" s="288"/>
      <c r="PV46" s="312"/>
      <c r="PW46" s="482"/>
      <c r="PX46" s="312"/>
      <c r="PY46" s="656"/>
      <c r="PZ46" s="657"/>
      <c r="QA46" s="656"/>
      <c r="QB46" s="657"/>
      <c r="QC46" s="656"/>
      <c r="QD46" s="658"/>
      <c r="QE46" s="656"/>
      <c r="QF46" s="658"/>
      <c r="QI46" s="288"/>
      <c r="QJ46" s="312"/>
      <c r="QK46" s="482"/>
      <c r="QL46" s="312"/>
      <c r="QM46" s="656"/>
      <c r="QN46" s="657"/>
      <c r="QO46" s="656"/>
      <c r="QP46" s="657"/>
      <c r="QQ46" s="656"/>
      <c r="QR46" s="658"/>
      <c r="QS46" s="656"/>
      <c r="QT46" s="658"/>
      <c r="QW46" s="288"/>
      <c r="QX46" s="312"/>
      <c r="QY46" s="482"/>
      <c r="QZ46" s="312"/>
      <c r="RA46" s="656"/>
      <c r="RB46" s="657"/>
      <c r="RC46" s="656"/>
      <c r="RD46" s="657"/>
      <c r="RE46" s="656"/>
      <c r="RF46" s="658"/>
      <c r="RG46" s="656"/>
      <c r="RH46" s="658"/>
      <c r="RK46" s="288"/>
      <c r="RL46" s="312"/>
      <c r="RM46" s="482"/>
      <c r="RN46" s="312"/>
      <c r="RO46" s="656"/>
      <c r="RP46" s="657"/>
      <c r="RQ46" s="656"/>
      <c r="RR46" s="657"/>
      <c r="RS46" s="656"/>
      <c r="RT46" s="658"/>
      <c r="RU46" s="656"/>
      <c r="RV46" s="658"/>
      <c r="RY46" s="288"/>
      <c r="RZ46" s="312"/>
      <c r="SA46" s="482"/>
      <c r="SB46" s="312"/>
      <c r="SC46" s="656"/>
      <c r="SD46" s="657"/>
      <c r="SE46" s="656"/>
      <c r="SF46" s="657"/>
      <c r="SG46" s="656"/>
      <c r="SH46" s="658"/>
      <c r="SI46" s="656"/>
      <c r="SJ46" s="658"/>
      <c r="SM46" s="288"/>
      <c r="SN46" s="312"/>
      <c r="SO46" s="482"/>
      <c r="SP46" s="312"/>
      <c r="SQ46" s="656"/>
      <c r="SR46" s="657"/>
      <c r="SS46" s="656"/>
      <c r="ST46" s="657"/>
      <c r="SU46" s="656"/>
      <c r="SV46" s="658"/>
      <c r="SW46" s="656"/>
      <c r="SX46" s="658"/>
      <c r="TA46" s="288"/>
      <c r="TB46" s="312"/>
      <c r="TC46" s="482"/>
      <c r="TD46" s="312"/>
      <c r="TE46" s="656"/>
      <c r="TF46" s="657"/>
      <c r="TG46" s="656"/>
      <c r="TH46" s="657"/>
      <c r="TI46" s="656"/>
      <c r="TJ46" s="658"/>
      <c r="TK46" s="656"/>
      <c r="TL46" s="658"/>
      <c r="TO46" s="288"/>
      <c r="TP46" s="312"/>
      <c r="TQ46" s="482"/>
      <c r="TR46" s="312"/>
      <c r="TS46" s="656"/>
      <c r="TT46" s="657"/>
      <c r="TU46" s="656"/>
      <c r="TV46" s="657"/>
      <c r="TW46" s="656"/>
      <c r="TX46" s="658"/>
      <c r="TY46" s="656"/>
      <c r="TZ46" s="658"/>
      <c r="UC46" s="288"/>
      <c r="UD46" s="312"/>
      <c r="UE46" s="482"/>
      <c r="UF46" s="312"/>
      <c r="UG46" s="656"/>
      <c r="UH46" s="657"/>
      <c r="UI46" s="656"/>
      <c r="UJ46" s="657"/>
      <c r="UK46" s="656"/>
      <c r="UL46" s="658"/>
      <c r="UM46" s="656"/>
      <c r="UN46" s="658"/>
      <c r="UQ46" s="288"/>
      <c r="UR46" s="312"/>
      <c r="US46" s="482"/>
      <c r="UT46" s="312"/>
      <c r="UU46" s="656"/>
      <c r="UV46" s="657"/>
      <c r="UW46" s="656"/>
      <c r="UX46" s="657"/>
      <c r="UY46" s="656"/>
      <c r="UZ46" s="658"/>
      <c r="VA46" s="656"/>
      <c r="VB46" s="658"/>
      <c r="VE46" s="288"/>
      <c r="VF46" s="312"/>
      <c r="VG46" s="482"/>
      <c r="VH46" s="312"/>
      <c r="VI46" s="656"/>
      <c r="VJ46" s="657"/>
      <c r="VK46" s="656"/>
      <c r="VL46" s="657"/>
      <c r="VM46" s="656"/>
      <c r="VN46" s="658"/>
      <c r="VO46" s="656"/>
      <c r="VP46" s="658"/>
      <c r="VS46" s="288"/>
      <c r="VT46" s="312"/>
      <c r="VU46" s="482"/>
      <c r="VV46" s="312"/>
      <c r="VW46" s="656"/>
      <c r="VX46" s="657"/>
      <c r="VY46" s="656"/>
      <c r="VZ46" s="657"/>
      <c r="WA46" s="656"/>
      <c r="WB46" s="658"/>
      <c r="WC46" s="656"/>
      <c r="WD46" s="658"/>
      <c r="WG46" s="288"/>
      <c r="WH46" s="312"/>
      <c r="WI46" s="482"/>
      <c r="WJ46" s="312"/>
      <c r="WK46" s="656"/>
      <c r="WL46" s="657"/>
      <c r="WM46" s="656"/>
      <c r="WN46" s="657"/>
      <c r="WO46" s="656"/>
      <c r="WP46" s="658"/>
      <c r="WQ46" s="656"/>
      <c r="WR46" s="658"/>
      <c r="WU46" s="288"/>
      <c r="WV46" s="312"/>
      <c r="WW46" s="482"/>
      <c r="WX46" s="312"/>
      <c r="WY46" s="656"/>
      <c r="WZ46" s="657"/>
      <c r="XA46" s="656"/>
      <c r="XB46" s="657"/>
      <c r="XC46" s="656"/>
      <c r="XD46" s="658"/>
      <c r="XE46" s="656"/>
      <c r="XF46" s="658"/>
      <c r="XI46" s="288"/>
      <c r="XJ46" s="312"/>
      <c r="XK46" s="482"/>
      <c r="XL46" s="312"/>
      <c r="XM46" s="656"/>
      <c r="XN46" s="657"/>
      <c r="XO46" s="656"/>
      <c r="XP46" s="657"/>
      <c r="XQ46" s="656"/>
      <c r="XR46" s="658"/>
      <c r="XS46" s="656"/>
      <c r="XT46" s="658"/>
      <c r="XW46" s="288"/>
      <c r="XX46" s="312"/>
      <c r="XY46" s="482"/>
      <c r="XZ46" s="312"/>
      <c r="YA46" s="656"/>
      <c r="YB46" s="657"/>
      <c r="YC46" s="656"/>
      <c r="YD46" s="657"/>
      <c r="YE46" s="656"/>
      <c r="YF46" s="658"/>
      <c r="YG46" s="656"/>
      <c r="YH46" s="658"/>
      <c r="YK46" s="288"/>
      <c r="YL46" s="312"/>
      <c r="YM46" s="482"/>
      <c r="YN46" s="312"/>
      <c r="YO46" s="656"/>
      <c r="YP46" s="657"/>
      <c r="YQ46" s="656"/>
      <c r="YR46" s="657"/>
      <c r="YS46" s="656"/>
      <c r="YT46" s="658"/>
      <c r="YU46" s="656"/>
      <c r="YV46" s="658"/>
      <c r="YY46" s="288"/>
      <c r="YZ46" s="312"/>
      <c r="ZA46" s="482"/>
      <c r="ZB46" s="312"/>
      <c r="ZC46" s="656"/>
      <c r="ZD46" s="657"/>
      <c r="ZE46" s="656"/>
      <c r="ZF46" s="657"/>
      <c r="ZG46" s="656"/>
      <c r="ZH46" s="658"/>
      <c r="ZI46" s="656"/>
      <c r="ZJ46" s="658"/>
      <c r="ZM46" s="288"/>
      <c r="ZN46" s="312"/>
      <c r="ZO46" s="482"/>
      <c r="ZP46" s="312"/>
      <c r="ZQ46" s="656"/>
      <c r="ZR46" s="657"/>
      <c r="ZS46" s="656"/>
      <c r="ZT46" s="657"/>
      <c r="ZU46" s="656"/>
      <c r="ZV46" s="658"/>
      <c r="ZW46" s="656"/>
      <c r="ZX46" s="658"/>
      <c r="AAA46" s="288"/>
      <c r="AAB46" s="312"/>
      <c r="AAC46" s="482"/>
      <c r="AAD46" s="312"/>
      <c r="AAE46" s="656"/>
      <c r="AAF46" s="657"/>
      <c r="AAG46" s="656"/>
      <c r="AAH46" s="657"/>
      <c r="AAI46" s="656"/>
      <c r="AAJ46" s="658"/>
      <c r="AAK46" s="656"/>
      <c r="AAL46" s="658"/>
      <c r="AAO46" s="288"/>
      <c r="AAP46" s="312"/>
      <c r="AAQ46" s="482"/>
      <c r="AAR46" s="312"/>
      <c r="AAS46" s="656"/>
      <c r="AAT46" s="657"/>
      <c r="AAU46" s="656"/>
      <c r="AAV46" s="657"/>
      <c r="AAW46" s="656"/>
      <c r="AAX46" s="658"/>
      <c r="AAY46" s="656"/>
      <c r="AAZ46" s="658"/>
      <c r="ABC46" s="288"/>
      <c r="ABD46" s="312"/>
      <c r="ABE46" s="482"/>
      <c r="ABF46" s="312"/>
      <c r="ABG46" s="656"/>
      <c r="ABH46" s="657"/>
      <c r="ABI46" s="656"/>
      <c r="ABJ46" s="657"/>
      <c r="ABK46" s="656"/>
      <c r="ABL46" s="658"/>
      <c r="ABM46" s="656"/>
      <c r="ABN46" s="658"/>
      <c r="ABQ46" s="288"/>
      <c r="ABR46" s="312"/>
      <c r="ABS46" s="482"/>
      <c r="ABT46" s="312"/>
      <c r="ABU46" s="656"/>
      <c r="ABV46" s="657"/>
      <c r="ABW46" s="656"/>
      <c r="ABX46" s="657"/>
      <c r="ABY46" s="656"/>
      <c r="ABZ46" s="658"/>
      <c r="ACA46" s="656"/>
      <c r="ACB46" s="658"/>
      <c r="ACE46" s="288"/>
      <c r="ACF46" s="312"/>
      <c r="ACG46" s="482"/>
      <c r="ACH46" s="312"/>
      <c r="ACI46" s="656"/>
      <c r="ACJ46" s="657"/>
      <c r="ACK46" s="656"/>
      <c r="ACL46" s="657"/>
      <c r="ACM46" s="656"/>
      <c r="ACN46" s="658"/>
      <c r="ACO46" s="656"/>
      <c r="ACP46" s="658"/>
      <c r="ACS46" s="288"/>
      <c r="ACT46" s="312"/>
      <c r="ACU46" s="482"/>
      <c r="ACV46" s="312"/>
      <c r="ACW46" s="656"/>
      <c r="ACX46" s="657"/>
      <c r="ACY46" s="656"/>
      <c r="ACZ46" s="657"/>
      <c r="ADA46" s="656"/>
      <c r="ADB46" s="658"/>
      <c r="ADC46" s="656"/>
      <c r="ADD46" s="658"/>
      <c r="ADG46" s="288"/>
      <c r="ADH46" s="312"/>
      <c r="ADI46" s="482"/>
      <c r="ADJ46" s="312"/>
      <c r="ADK46" s="656"/>
      <c r="ADL46" s="657"/>
      <c r="ADM46" s="656"/>
      <c r="ADN46" s="657"/>
      <c r="ADO46" s="656"/>
      <c r="ADP46" s="658"/>
      <c r="ADQ46" s="656"/>
      <c r="ADR46" s="658"/>
      <c r="ADU46" s="288"/>
      <c r="ADV46" s="312"/>
      <c r="ADW46" s="482"/>
      <c r="ADX46" s="312"/>
      <c r="ADY46" s="656"/>
      <c r="ADZ46" s="657"/>
      <c r="AEA46" s="656"/>
      <c r="AEB46" s="657"/>
      <c r="AEC46" s="656"/>
      <c r="AED46" s="658"/>
      <c r="AEE46" s="656"/>
      <c r="AEF46" s="658"/>
      <c r="AEI46" s="288"/>
      <c r="AEJ46" s="312"/>
      <c r="AEK46" s="482"/>
      <c r="AEL46" s="312"/>
      <c r="AEM46" s="656"/>
      <c r="AEN46" s="657"/>
      <c r="AEO46" s="656"/>
      <c r="AEP46" s="657"/>
      <c r="AEQ46" s="656"/>
      <c r="AER46" s="658"/>
      <c r="AES46" s="656"/>
      <c r="AET46" s="658"/>
      <c r="AEW46" s="288"/>
      <c r="AEX46" s="312"/>
      <c r="AEY46" s="482"/>
      <c r="AEZ46" s="312"/>
      <c r="AFA46" s="656"/>
      <c r="AFB46" s="657"/>
      <c r="AFC46" s="656"/>
      <c r="AFD46" s="657"/>
      <c r="AFE46" s="656"/>
      <c r="AFF46" s="658"/>
      <c r="AFG46" s="656"/>
      <c r="AFH46" s="658"/>
      <c r="AFK46" s="288"/>
      <c r="AFL46" s="312"/>
      <c r="AFM46" s="482"/>
      <c r="AFN46" s="312"/>
      <c r="AFO46" s="656"/>
      <c r="AFP46" s="657"/>
      <c r="AFQ46" s="656"/>
      <c r="AFR46" s="657"/>
      <c r="AFS46" s="656"/>
      <c r="AFT46" s="658"/>
      <c r="AFU46" s="656"/>
      <c r="AFV46" s="658"/>
      <c r="AFY46" s="288"/>
      <c r="AFZ46" s="312"/>
      <c r="AGA46" s="482"/>
      <c r="AGB46" s="312"/>
      <c r="AGC46" s="656"/>
      <c r="AGD46" s="657"/>
      <c r="AGE46" s="656"/>
      <c r="AGF46" s="657"/>
      <c r="AGG46" s="656"/>
      <c r="AGH46" s="658"/>
      <c r="AGI46" s="656"/>
      <c r="AGJ46" s="658"/>
      <c r="AGM46" s="288"/>
      <c r="AGN46" s="312"/>
      <c r="AGO46" s="482"/>
      <c r="AGP46" s="312"/>
      <c r="AGQ46" s="656"/>
      <c r="AGR46" s="657"/>
      <c r="AGS46" s="656"/>
      <c r="AGT46" s="657"/>
      <c r="AGU46" s="656"/>
      <c r="AGV46" s="658"/>
      <c r="AGW46" s="656"/>
      <c r="AGX46" s="658"/>
      <c r="AHA46" s="288"/>
      <c r="AHB46" s="312"/>
      <c r="AHC46" s="482"/>
      <c r="AHD46" s="312"/>
      <c r="AHE46" s="656"/>
      <c r="AHF46" s="657"/>
      <c r="AHG46" s="656"/>
      <c r="AHH46" s="657"/>
      <c r="AHI46" s="656"/>
      <c r="AHJ46" s="658"/>
      <c r="AHK46" s="656"/>
      <c r="AHL46" s="658"/>
      <c r="AHO46" s="288"/>
      <c r="AHP46" s="312"/>
      <c r="AHQ46" s="482"/>
      <c r="AHR46" s="312"/>
      <c r="AHS46" s="656"/>
      <c r="AHT46" s="657"/>
      <c r="AHU46" s="656"/>
      <c r="AHV46" s="657"/>
      <c r="AHW46" s="656"/>
      <c r="AHX46" s="658"/>
      <c r="AHY46" s="656"/>
      <c r="AHZ46" s="658"/>
      <c r="AIC46" s="288"/>
      <c r="AID46" s="312"/>
      <c r="AIE46" s="482"/>
      <c r="AIF46" s="312"/>
      <c r="AIG46" s="656"/>
      <c r="AIH46" s="657"/>
      <c r="AII46" s="656"/>
      <c r="AIJ46" s="657"/>
      <c r="AIK46" s="656"/>
      <c r="AIL46" s="658"/>
      <c r="AIM46" s="656"/>
      <c r="AIN46" s="658"/>
      <c r="AIQ46" s="288"/>
      <c r="AIR46" s="312"/>
      <c r="AIS46" s="482"/>
      <c r="AIT46" s="312"/>
      <c r="AIU46" s="656"/>
      <c r="AIV46" s="657"/>
      <c r="AIW46" s="656"/>
      <c r="AIX46" s="657"/>
      <c r="AIY46" s="656"/>
      <c r="AIZ46" s="658"/>
      <c r="AJA46" s="656"/>
      <c r="AJB46" s="658"/>
      <c r="AJE46" s="288"/>
      <c r="AJF46" s="312"/>
      <c r="AJG46" s="482"/>
      <c r="AJH46" s="312"/>
      <c r="AJI46" s="656"/>
      <c r="AJJ46" s="657"/>
      <c r="AJK46" s="656"/>
      <c r="AJL46" s="657"/>
      <c r="AJM46" s="656"/>
      <c r="AJN46" s="658"/>
      <c r="AJO46" s="656"/>
      <c r="AJP46" s="658"/>
      <c r="AJS46" s="288"/>
      <c r="AJT46" s="312"/>
      <c r="AJU46" s="482"/>
      <c r="AJV46" s="312"/>
      <c r="AJW46" s="656"/>
      <c r="AJX46" s="657"/>
      <c r="AJY46" s="656"/>
      <c r="AJZ46" s="657"/>
      <c r="AKA46" s="656"/>
      <c r="AKB46" s="658"/>
      <c r="AKC46" s="656"/>
      <c r="AKD46" s="658"/>
      <c r="AKG46" s="288"/>
      <c r="AKH46" s="312"/>
      <c r="AKI46" s="482"/>
      <c r="AKJ46" s="312"/>
      <c r="AKK46" s="656"/>
      <c r="AKL46" s="657"/>
      <c r="AKM46" s="656"/>
      <c r="AKN46" s="657"/>
      <c r="AKO46" s="656"/>
      <c r="AKP46" s="658"/>
      <c r="AKQ46" s="656"/>
      <c r="AKR46" s="658"/>
      <c r="AKU46" s="288"/>
      <c r="AKV46" s="312"/>
      <c r="AKW46" s="482"/>
      <c r="AKX46" s="312"/>
      <c r="AKY46" s="656"/>
      <c r="AKZ46" s="657"/>
      <c r="ALA46" s="656"/>
      <c r="ALB46" s="657"/>
      <c r="ALC46" s="656"/>
      <c r="ALD46" s="658"/>
      <c r="ALE46" s="656"/>
      <c r="ALF46" s="658"/>
      <c r="ALI46" s="288"/>
      <c r="ALJ46" s="312"/>
      <c r="ALK46" s="482"/>
      <c r="ALL46" s="312"/>
      <c r="ALM46" s="656"/>
      <c r="ALN46" s="657"/>
      <c r="ALO46" s="656"/>
      <c r="ALP46" s="657"/>
      <c r="ALQ46" s="656"/>
      <c r="ALR46" s="658"/>
      <c r="ALS46" s="656"/>
      <c r="ALT46" s="658"/>
      <c r="ALW46" s="288"/>
      <c r="ALX46" s="312"/>
      <c r="ALY46" s="482"/>
      <c r="ALZ46" s="312"/>
      <c r="AMA46" s="656"/>
      <c r="AMB46" s="657"/>
      <c r="AMC46" s="656"/>
      <c r="AMD46" s="657"/>
      <c r="AME46" s="656"/>
      <c r="AMF46" s="658"/>
      <c r="AMG46" s="656"/>
      <c r="AMH46" s="658"/>
      <c r="AMK46" s="288"/>
      <c r="AML46" s="312"/>
      <c r="AMM46" s="482"/>
      <c r="AMN46" s="312"/>
      <c r="AMO46" s="656"/>
      <c r="AMP46" s="657"/>
      <c r="AMQ46" s="656"/>
      <c r="AMR46" s="657"/>
      <c r="AMS46" s="656"/>
      <c r="AMT46" s="658"/>
      <c r="AMU46" s="656"/>
      <c r="AMV46" s="658"/>
      <c r="AMY46" s="288"/>
      <c r="AMZ46" s="312"/>
      <c r="ANA46" s="482"/>
      <c r="ANB46" s="312"/>
      <c r="ANC46" s="656"/>
      <c r="AND46" s="657"/>
      <c r="ANE46" s="656"/>
      <c r="ANF46" s="657"/>
      <c r="ANG46" s="656"/>
      <c r="ANH46" s="658"/>
      <c r="ANI46" s="656"/>
      <c r="ANJ46" s="658"/>
      <c r="ANM46" s="288"/>
      <c r="ANN46" s="312"/>
      <c r="ANO46" s="482"/>
      <c r="ANP46" s="312"/>
      <c r="ANQ46" s="656"/>
      <c r="ANR46" s="657"/>
      <c r="ANS46" s="656"/>
      <c r="ANT46" s="657"/>
      <c r="ANU46" s="656"/>
      <c r="ANV46" s="658"/>
      <c r="ANW46" s="656"/>
      <c r="ANX46" s="658"/>
      <c r="AOA46" s="288"/>
      <c r="AOB46" s="312"/>
      <c r="AOC46" s="482"/>
      <c r="AOD46" s="312"/>
      <c r="AOE46" s="656"/>
      <c r="AOF46" s="657"/>
      <c r="AOG46" s="656"/>
      <c r="AOH46" s="657"/>
      <c r="AOI46" s="656"/>
      <c r="AOJ46" s="658"/>
      <c r="AOK46" s="656"/>
      <c r="AOL46" s="658"/>
      <c r="AOO46" s="288"/>
      <c r="AOP46" s="312"/>
      <c r="AOQ46" s="482"/>
      <c r="AOR46" s="312"/>
      <c r="AOS46" s="656"/>
      <c r="AOT46" s="657"/>
      <c r="AOU46" s="656"/>
      <c r="AOV46" s="657"/>
      <c r="AOW46" s="656"/>
      <c r="AOX46" s="658"/>
      <c r="AOY46" s="656"/>
      <c r="AOZ46" s="658"/>
      <c r="APC46" s="288"/>
      <c r="APD46" s="312"/>
      <c r="APE46" s="482"/>
      <c r="APF46" s="312"/>
      <c r="APG46" s="656"/>
      <c r="APH46" s="657"/>
      <c r="API46" s="656"/>
      <c r="APJ46" s="657"/>
      <c r="APK46" s="656"/>
      <c r="APL46" s="658"/>
      <c r="APM46" s="656"/>
      <c r="APN46" s="658"/>
      <c r="APQ46" s="288"/>
      <c r="APR46" s="312"/>
      <c r="APS46" s="482"/>
      <c r="APT46" s="312"/>
      <c r="APU46" s="656"/>
      <c r="APV46" s="657"/>
      <c r="APW46" s="656"/>
      <c r="APX46" s="657"/>
      <c r="APY46" s="656"/>
      <c r="APZ46" s="658"/>
      <c r="AQA46" s="656"/>
      <c r="AQB46" s="658"/>
      <c r="AQE46" s="288"/>
      <c r="AQF46" s="312"/>
      <c r="AQG46" s="482"/>
      <c r="AQH46" s="312"/>
      <c r="AQI46" s="656"/>
      <c r="AQJ46" s="657"/>
      <c r="AQK46" s="656"/>
      <c r="AQL46" s="657"/>
      <c r="AQM46" s="656"/>
      <c r="AQN46" s="658"/>
      <c r="AQO46" s="656"/>
      <c r="AQP46" s="658"/>
      <c r="AQS46" s="288"/>
      <c r="AQT46" s="312"/>
      <c r="AQU46" s="482"/>
      <c r="AQV46" s="312"/>
      <c r="AQW46" s="656"/>
      <c r="AQX46" s="657"/>
      <c r="AQY46" s="656"/>
      <c r="AQZ46" s="657"/>
      <c r="ARA46" s="656"/>
      <c r="ARB46" s="658"/>
      <c r="ARC46" s="656"/>
      <c r="ARD46" s="658"/>
      <c r="ARG46" s="288"/>
      <c r="ARH46" s="312"/>
      <c r="ARI46" s="482"/>
      <c r="ARJ46" s="312"/>
      <c r="ARK46" s="656"/>
      <c r="ARL46" s="657"/>
      <c r="ARM46" s="656"/>
      <c r="ARN46" s="657"/>
      <c r="ARO46" s="656"/>
      <c r="ARP46" s="658"/>
      <c r="ARQ46" s="656"/>
      <c r="ARR46" s="658"/>
      <c r="ARU46" s="288"/>
      <c r="ARV46" s="312"/>
      <c r="ARW46" s="482"/>
      <c r="ARX46" s="312"/>
      <c r="ARY46" s="656"/>
      <c r="ARZ46" s="657"/>
      <c r="ASA46" s="656"/>
      <c r="ASB46" s="657"/>
      <c r="ASC46" s="656"/>
      <c r="ASD46" s="658"/>
      <c r="ASE46" s="656"/>
      <c r="ASF46" s="658"/>
      <c r="ASI46" s="288"/>
      <c r="ASJ46" s="312"/>
      <c r="ASK46" s="482"/>
      <c r="ASL46" s="312"/>
      <c r="ASM46" s="656"/>
      <c r="ASN46" s="657"/>
      <c r="ASO46" s="656"/>
      <c r="ASP46" s="657"/>
      <c r="ASQ46" s="656"/>
      <c r="ASR46" s="658"/>
      <c r="ASS46" s="656"/>
      <c r="AST46" s="658"/>
      <c r="ASW46" s="288"/>
      <c r="ASX46" s="312"/>
      <c r="ASY46" s="482"/>
      <c r="ASZ46" s="312"/>
      <c r="ATA46" s="656"/>
      <c r="ATB46" s="657"/>
      <c r="ATC46" s="656"/>
      <c r="ATD46" s="657"/>
      <c r="ATE46" s="656"/>
      <c r="ATF46" s="658"/>
      <c r="ATG46" s="656"/>
      <c r="ATH46" s="658"/>
      <c r="ATK46" s="288"/>
      <c r="ATL46" s="312"/>
      <c r="ATM46" s="482"/>
      <c r="ATN46" s="312"/>
      <c r="ATO46" s="656"/>
      <c r="ATP46" s="657"/>
      <c r="ATQ46" s="656"/>
      <c r="ATR46" s="657"/>
      <c r="ATS46" s="656"/>
      <c r="ATT46" s="658"/>
      <c r="ATU46" s="656"/>
      <c r="ATV46" s="658"/>
      <c r="ATY46" s="288"/>
      <c r="ATZ46" s="312"/>
      <c r="AUA46" s="482"/>
      <c r="AUB46" s="312"/>
      <c r="AUC46" s="656"/>
      <c r="AUD46" s="657"/>
      <c r="AUE46" s="656"/>
      <c r="AUF46" s="657"/>
      <c r="AUG46" s="656"/>
      <c r="AUH46" s="658"/>
      <c r="AUI46" s="656"/>
      <c r="AUJ46" s="658"/>
      <c r="AUM46" s="288"/>
      <c r="AUN46" s="312"/>
      <c r="AUO46" s="482"/>
      <c r="AUP46" s="312"/>
      <c r="AUQ46" s="656"/>
      <c r="AUR46" s="657"/>
      <c r="AUS46" s="656"/>
      <c r="AUT46" s="657"/>
      <c r="AUU46" s="656"/>
      <c r="AUV46" s="658"/>
      <c r="AUW46" s="656"/>
      <c r="AUX46" s="658"/>
      <c r="AVA46" s="288"/>
      <c r="AVB46" s="312"/>
      <c r="AVC46" s="482"/>
      <c r="AVD46" s="312"/>
      <c r="AVE46" s="656"/>
      <c r="AVF46" s="657"/>
      <c r="AVG46" s="656"/>
      <c r="AVH46" s="657"/>
      <c r="AVI46" s="656"/>
      <c r="AVJ46" s="658"/>
      <c r="AVK46" s="656"/>
      <c r="AVL46" s="658"/>
      <c r="AVO46" s="288"/>
      <c r="AVP46" s="312"/>
      <c r="AVQ46" s="482"/>
      <c r="AVR46" s="312"/>
      <c r="AVS46" s="656"/>
      <c r="AVT46" s="657"/>
      <c r="AVU46" s="656"/>
      <c r="AVV46" s="657"/>
      <c r="AVW46" s="656"/>
      <c r="AVX46" s="658"/>
      <c r="AVY46" s="656"/>
      <c r="AVZ46" s="658"/>
      <c r="AWC46" s="288"/>
      <c r="AWD46" s="312"/>
      <c r="AWE46" s="482"/>
      <c r="AWF46" s="312"/>
      <c r="AWG46" s="656"/>
      <c r="AWH46" s="657"/>
      <c r="AWI46" s="656"/>
      <c r="AWJ46" s="657"/>
      <c r="AWK46" s="656"/>
      <c r="AWL46" s="658"/>
      <c r="AWM46" s="656"/>
      <c r="AWN46" s="658"/>
      <c r="AWQ46" s="288"/>
      <c r="AWR46" s="312"/>
      <c r="AWS46" s="482"/>
      <c r="AWT46" s="312"/>
      <c r="AWU46" s="656"/>
      <c r="AWV46" s="657"/>
      <c r="AWW46" s="656"/>
      <c r="AWX46" s="657"/>
      <c r="AWY46" s="656"/>
      <c r="AWZ46" s="658"/>
      <c r="AXA46" s="656"/>
      <c r="AXB46" s="658"/>
      <c r="AXE46" s="288"/>
      <c r="AXF46" s="312"/>
      <c r="AXG46" s="482"/>
      <c r="AXH46" s="312"/>
      <c r="AXI46" s="656"/>
      <c r="AXJ46" s="657"/>
      <c r="AXK46" s="656"/>
      <c r="AXL46" s="657"/>
      <c r="AXM46" s="656"/>
      <c r="AXN46" s="658"/>
      <c r="AXO46" s="656"/>
      <c r="AXP46" s="658"/>
      <c r="AXS46" s="288"/>
      <c r="AXT46" s="312"/>
      <c r="AXU46" s="482"/>
      <c r="AXV46" s="312"/>
      <c r="AXW46" s="656"/>
      <c r="AXX46" s="657"/>
      <c r="AXY46" s="656"/>
      <c r="AXZ46" s="657"/>
      <c r="AYA46" s="656"/>
      <c r="AYB46" s="658"/>
      <c r="AYC46" s="656"/>
      <c r="AYD46" s="658"/>
      <c r="AYG46" s="288"/>
      <c r="AYH46" s="312"/>
      <c r="AYI46" s="482"/>
      <c r="AYJ46" s="312"/>
      <c r="AYK46" s="656"/>
      <c r="AYL46" s="657"/>
      <c r="AYM46" s="656"/>
      <c r="AYN46" s="657"/>
      <c r="AYO46" s="656"/>
      <c r="AYP46" s="658"/>
      <c r="AYQ46" s="656"/>
      <c r="AYR46" s="658"/>
      <c r="AYU46" s="288"/>
      <c r="AYV46" s="312"/>
      <c r="AYW46" s="482"/>
      <c r="AYX46" s="312"/>
      <c r="AYY46" s="656"/>
      <c r="AYZ46" s="657"/>
      <c r="AZA46" s="656"/>
      <c r="AZB46" s="657"/>
      <c r="AZC46" s="656"/>
      <c r="AZD46" s="658"/>
      <c r="AZE46" s="656"/>
      <c r="AZF46" s="658"/>
      <c r="AZI46" s="288"/>
      <c r="AZJ46" s="312"/>
      <c r="AZK46" s="482"/>
      <c r="AZL46" s="312"/>
      <c r="AZM46" s="656"/>
      <c r="AZN46" s="657"/>
      <c r="AZO46" s="656"/>
      <c r="AZP46" s="657"/>
      <c r="AZQ46" s="656"/>
      <c r="AZR46" s="658"/>
      <c r="AZS46" s="656"/>
      <c r="AZT46" s="658"/>
      <c r="AZW46" s="288"/>
      <c r="AZX46" s="312"/>
      <c r="AZY46" s="482"/>
      <c r="AZZ46" s="312"/>
      <c r="BAA46" s="656"/>
      <c r="BAB46" s="657"/>
      <c r="BAC46" s="656"/>
      <c r="BAD46" s="657"/>
      <c r="BAE46" s="656"/>
      <c r="BAF46" s="658"/>
      <c r="BAG46" s="656"/>
      <c r="BAH46" s="658"/>
      <c r="BAK46" s="288"/>
      <c r="BAL46" s="312"/>
      <c r="BAM46" s="482"/>
      <c r="BAN46" s="312"/>
      <c r="BAO46" s="656"/>
      <c r="BAP46" s="657"/>
      <c r="BAQ46" s="656"/>
      <c r="BAR46" s="657"/>
      <c r="BAS46" s="656"/>
      <c r="BAT46" s="658"/>
      <c r="BAU46" s="656"/>
      <c r="BAV46" s="658"/>
      <c r="BAY46" s="288"/>
      <c r="BAZ46" s="312"/>
      <c r="BBA46" s="482"/>
      <c r="BBB46" s="312"/>
      <c r="BBC46" s="656"/>
      <c r="BBD46" s="657"/>
      <c r="BBE46" s="656"/>
      <c r="BBF46" s="657"/>
      <c r="BBG46" s="656"/>
      <c r="BBH46" s="658"/>
      <c r="BBI46" s="656"/>
      <c r="BBJ46" s="658"/>
      <c r="BBM46" s="288"/>
      <c r="BBN46" s="312"/>
      <c r="BBO46" s="482"/>
      <c r="BBP46" s="312"/>
      <c r="BBQ46" s="656"/>
      <c r="BBR46" s="657"/>
      <c r="BBS46" s="656"/>
      <c r="BBT46" s="657"/>
      <c r="BBU46" s="656"/>
      <c r="BBV46" s="658"/>
      <c r="BBW46" s="656"/>
      <c r="BBX46" s="658"/>
      <c r="BCA46" s="288"/>
      <c r="BCB46" s="312"/>
      <c r="BCC46" s="482"/>
      <c r="BCD46" s="312"/>
      <c r="BCE46" s="656"/>
      <c r="BCF46" s="657"/>
      <c r="BCG46" s="656"/>
      <c r="BCH46" s="657"/>
      <c r="BCI46" s="656"/>
      <c r="BCJ46" s="658"/>
      <c r="BCK46" s="656"/>
      <c r="BCL46" s="658"/>
      <c r="BCO46" s="288"/>
      <c r="BCP46" s="312"/>
      <c r="BCQ46" s="482"/>
      <c r="BCR46" s="312"/>
      <c r="BCS46" s="656"/>
      <c r="BCT46" s="657"/>
      <c r="BCU46" s="656"/>
      <c r="BCV46" s="657"/>
      <c r="BCW46" s="656"/>
      <c r="BCX46" s="658"/>
      <c r="BCY46" s="656"/>
      <c r="BCZ46" s="658"/>
      <c r="BDC46" s="288"/>
      <c r="BDD46" s="312"/>
      <c r="BDE46" s="482"/>
      <c r="BDF46" s="312"/>
      <c r="BDG46" s="656"/>
      <c r="BDH46" s="657"/>
      <c r="BDI46" s="656"/>
      <c r="BDJ46" s="657"/>
      <c r="BDK46" s="656"/>
      <c r="BDL46" s="658"/>
      <c r="BDM46" s="656"/>
      <c r="BDN46" s="658"/>
      <c r="BDQ46" s="288"/>
      <c r="BDR46" s="312"/>
      <c r="BDS46" s="482"/>
      <c r="BDT46" s="312"/>
      <c r="BDU46" s="656"/>
      <c r="BDV46" s="657"/>
      <c r="BDW46" s="656"/>
      <c r="BDX46" s="657"/>
      <c r="BDY46" s="656"/>
      <c r="BDZ46" s="658"/>
      <c r="BEA46" s="656"/>
      <c r="BEB46" s="658"/>
      <c r="BEE46" s="288"/>
      <c r="BEF46" s="312"/>
      <c r="BEG46" s="482"/>
      <c r="BEH46" s="312"/>
      <c r="BEI46" s="656"/>
      <c r="BEJ46" s="657"/>
      <c r="BEK46" s="656"/>
      <c r="BEL46" s="657"/>
      <c r="BEM46" s="656"/>
      <c r="BEN46" s="658"/>
      <c r="BEO46" s="656"/>
      <c r="BEP46" s="658"/>
      <c r="BES46" s="288"/>
      <c r="BET46" s="312"/>
      <c r="BEU46" s="482"/>
      <c r="BEV46" s="312"/>
      <c r="BEW46" s="656"/>
      <c r="BEX46" s="657"/>
      <c r="BEY46" s="656"/>
      <c r="BEZ46" s="657"/>
      <c r="BFA46" s="656"/>
      <c r="BFB46" s="658"/>
      <c r="BFC46" s="656"/>
      <c r="BFD46" s="658"/>
      <c r="BFG46" s="288"/>
      <c r="BFH46" s="312"/>
      <c r="BFI46" s="482"/>
      <c r="BFJ46" s="312"/>
      <c r="BFK46" s="656"/>
      <c r="BFL46" s="657"/>
      <c r="BFM46" s="656"/>
      <c r="BFN46" s="657"/>
      <c r="BFO46" s="656"/>
      <c r="BFP46" s="658"/>
      <c r="BFQ46" s="656"/>
      <c r="BFR46" s="658"/>
      <c r="BFU46" s="288"/>
      <c r="BFV46" s="312"/>
      <c r="BFW46" s="482"/>
      <c r="BFX46" s="312"/>
      <c r="BFY46" s="656"/>
      <c r="BFZ46" s="657"/>
      <c r="BGA46" s="656"/>
      <c r="BGB46" s="657"/>
      <c r="BGC46" s="656"/>
      <c r="BGD46" s="658"/>
      <c r="BGE46" s="656"/>
      <c r="BGF46" s="658"/>
      <c r="BGI46" s="288"/>
      <c r="BGJ46" s="312"/>
      <c r="BGK46" s="482"/>
      <c r="BGL46" s="312"/>
      <c r="BGM46" s="656"/>
      <c r="BGN46" s="657"/>
      <c r="BGO46" s="656"/>
      <c r="BGP46" s="657"/>
      <c r="BGQ46" s="656"/>
      <c r="BGR46" s="658"/>
      <c r="BGS46" s="656"/>
      <c r="BGT46" s="658"/>
      <c r="BGW46" s="288"/>
      <c r="BGX46" s="312"/>
      <c r="BGY46" s="482"/>
      <c r="BGZ46" s="312"/>
      <c r="BHA46" s="656"/>
      <c r="BHB46" s="657"/>
      <c r="BHC46" s="656"/>
      <c r="BHD46" s="657"/>
      <c r="BHE46" s="656"/>
      <c r="BHF46" s="658"/>
      <c r="BHG46" s="656"/>
      <c r="BHH46" s="658"/>
      <c r="BHK46" s="288"/>
      <c r="BHL46" s="312"/>
      <c r="BHM46" s="482"/>
      <c r="BHN46" s="312"/>
      <c r="BHO46" s="656"/>
      <c r="BHP46" s="657"/>
      <c r="BHQ46" s="656"/>
      <c r="BHR46" s="657"/>
      <c r="BHS46" s="656"/>
      <c r="BHT46" s="658"/>
      <c r="BHU46" s="656"/>
      <c r="BHV46" s="658"/>
      <c r="BHY46" s="288"/>
      <c r="BHZ46" s="312"/>
      <c r="BIA46" s="482"/>
      <c r="BIB46" s="312"/>
      <c r="BIC46" s="656"/>
      <c r="BID46" s="657"/>
      <c r="BIE46" s="656"/>
      <c r="BIF46" s="657"/>
      <c r="BIG46" s="656"/>
      <c r="BIH46" s="658"/>
      <c r="BII46" s="656"/>
      <c r="BIJ46" s="658"/>
      <c r="BIM46" s="288"/>
      <c r="BIN46" s="312"/>
      <c r="BIO46" s="482"/>
      <c r="BIP46" s="312"/>
      <c r="BIQ46" s="656"/>
      <c r="BIR46" s="657"/>
      <c r="BIS46" s="656"/>
      <c r="BIT46" s="657"/>
      <c r="BIU46" s="656"/>
      <c r="BIV46" s="658"/>
      <c r="BIW46" s="656"/>
      <c r="BIX46" s="658"/>
      <c r="BJA46" s="288"/>
      <c r="BJB46" s="312"/>
      <c r="BJC46" s="482"/>
      <c r="BJD46" s="312"/>
      <c r="BJE46" s="656"/>
      <c r="BJF46" s="657"/>
      <c r="BJG46" s="656"/>
      <c r="BJH46" s="657"/>
      <c r="BJI46" s="656"/>
      <c r="BJJ46" s="658"/>
      <c r="BJK46" s="656"/>
      <c r="BJL46" s="658"/>
      <c r="BJO46" s="288"/>
      <c r="BJP46" s="312"/>
      <c r="BJQ46" s="482"/>
      <c r="BJR46" s="312"/>
      <c r="BJS46" s="656"/>
      <c r="BJT46" s="657"/>
      <c r="BJU46" s="656"/>
      <c r="BJV46" s="657"/>
      <c r="BJW46" s="656"/>
      <c r="BJX46" s="658"/>
      <c r="BJY46" s="656"/>
      <c r="BJZ46" s="658"/>
      <c r="BKC46" s="288"/>
      <c r="BKD46" s="312"/>
      <c r="BKE46" s="482"/>
      <c r="BKF46" s="312"/>
      <c r="BKG46" s="656"/>
      <c r="BKH46" s="657"/>
      <c r="BKI46" s="656"/>
      <c r="BKJ46" s="657"/>
      <c r="BKK46" s="656"/>
      <c r="BKL46" s="658"/>
      <c r="BKM46" s="656"/>
      <c r="BKN46" s="658"/>
      <c r="BKQ46" s="288"/>
      <c r="BKR46" s="312"/>
      <c r="BKS46" s="482"/>
      <c r="BKT46" s="312"/>
      <c r="BKU46" s="656"/>
      <c r="BKV46" s="657"/>
      <c r="BKW46" s="656"/>
      <c r="BKX46" s="657"/>
      <c r="BKY46" s="656"/>
      <c r="BKZ46" s="658"/>
      <c r="BLA46" s="656"/>
      <c r="BLB46" s="658"/>
      <c r="BLE46" s="288"/>
      <c r="BLF46" s="312"/>
      <c r="BLG46" s="482"/>
      <c r="BLH46" s="312"/>
      <c r="BLI46" s="656"/>
      <c r="BLJ46" s="657"/>
      <c r="BLK46" s="656"/>
      <c r="BLL46" s="657"/>
      <c r="BLM46" s="656"/>
      <c r="BLN46" s="658"/>
      <c r="BLO46" s="656"/>
      <c r="BLP46" s="658"/>
      <c r="BLS46" s="288"/>
      <c r="BLT46" s="312"/>
      <c r="BLU46" s="482"/>
      <c r="BLV46" s="312"/>
      <c r="BLW46" s="656"/>
      <c r="BLX46" s="657"/>
      <c r="BLY46" s="656"/>
      <c r="BLZ46" s="657"/>
      <c r="BMA46" s="656"/>
      <c r="BMB46" s="658"/>
      <c r="BMC46" s="656"/>
      <c r="BMD46" s="658"/>
      <c r="BMG46" s="288"/>
      <c r="BMH46" s="312"/>
      <c r="BMI46" s="482"/>
      <c r="BMJ46" s="312"/>
      <c r="BMK46" s="656"/>
      <c r="BML46" s="657"/>
      <c r="BMM46" s="656"/>
      <c r="BMN46" s="657"/>
      <c r="BMO46" s="656"/>
      <c r="BMP46" s="658"/>
      <c r="BMQ46" s="656"/>
      <c r="BMR46" s="658"/>
      <c r="BMU46" s="288"/>
      <c r="BMV46" s="312"/>
      <c r="BMW46" s="482"/>
      <c r="BMX46" s="312"/>
      <c r="BMY46" s="656"/>
      <c r="BMZ46" s="657"/>
      <c r="BNA46" s="656"/>
      <c r="BNB46" s="657"/>
      <c r="BNC46" s="656"/>
      <c r="BND46" s="658"/>
      <c r="BNE46" s="656"/>
      <c r="BNF46" s="658"/>
      <c r="BNI46" s="288"/>
      <c r="BNJ46" s="312"/>
      <c r="BNK46" s="482"/>
      <c r="BNL46" s="312"/>
      <c r="BNM46" s="656"/>
      <c r="BNN46" s="657"/>
      <c r="BNO46" s="656"/>
      <c r="BNP46" s="657"/>
      <c r="BNQ46" s="656"/>
      <c r="BNR46" s="658"/>
      <c r="BNS46" s="656"/>
      <c r="BNT46" s="658"/>
      <c r="BNW46" s="288"/>
      <c r="BNX46" s="312"/>
      <c r="BNY46" s="482"/>
      <c r="BNZ46" s="312"/>
      <c r="BOA46" s="656"/>
      <c r="BOB46" s="657"/>
      <c r="BOC46" s="656"/>
      <c r="BOD46" s="657"/>
      <c r="BOE46" s="656"/>
      <c r="BOF46" s="658"/>
      <c r="BOG46" s="656"/>
      <c r="BOH46" s="658"/>
      <c r="BOK46" s="288"/>
      <c r="BOL46" s="312"/>
      <c r="BOM46" s="482"/>
      <c r="BON46" s="312"/>
      <c r="BOO46" s="656"/>
      <c r="BOP46" s="657"/>
      <c r="BOQ46" s="656"/>
      <c r="BOR46" s="657"/>
      <c r="BOS46" s="656"/>
      <c r="BOT46" s="658"/>
      <c r="BOU46" s="656"/>
      <c r="BOV46" s="658"/>
      <c r="BOY46" s="288"/>
      <c r="BOZ46" s="312"/>
      <c r="BPA46" s="482"/>
      <c r="BPB46" s="312"/>
      <c r="BPC46" s="656"/>
      <c r="BPD46" s="657"/>
      <c r="BPE46" s="656"/>
      <c r="BPF46" s="657"/>
      <c r="BPG46" s="656"/>
      <c r="BPH46" s="658"/>
      <c r="BPI46" s="656"/>
      <c r="BPJ46" s="658"/>
      <c r="BPM46" s="288"/>
      <c r="BPN46" s="312"/>
      <c r="BPO46" s="482"/>
      <c r="BPP46" s="312"/>
      <c r="BPQ46" s="656"/>
      <c r="BPR46" s="657"/>
      <c r="BPS46" s="656"/>
      <c r="BPT46" s="657"/>
      <c r="BPU46" s="656"/>
      <c r="BPV46" s="658"/>
      <c r="BPW46" s="656"/>
      <c r="BPX46" s="658"/>
      <c r="BQA46" s="288"/>
      <c r="BQB46" s="312"/>
      <c r="BQC46" s="482"/>
      <c r="BQD46" s="312"/>
      <c r="BQE46" s="656"/>
      <c r="BQF46" s="657"/>
      <c r="BQG46" s="656"/>
      <c r="BQH46" s="657"/>
      <c r="BQI46" s="656"/>
      <c r="BQJ46" s="658"/>
      <c r="BQK46" s="656"/>
      <c r="BQL46" s="658"/>
      <c r="BQO46" s="288"/>
      <c r="BQP46" s="312"/>
      <c r="BQQ46" s="482"/>
      <c r="BQR46" s="312"/>
      <c r="BQS46" s="656"/>
      <c r="BQT46" s="657"/>
      <c r="BQU46" s="656"/>
      <c r="BQV46" s="657"/>
      <c r="BQW46" s="656"/>
      <c r="BQX46" s="658"/>
      <c r="BQY46" s="656"/>
      <c r="BQZ46" s="658"/>
      <c r="BRC46" s="288"/>
      <c r="BRD46" s="312"/>
      <c r="BRE46" s="482"/>
      <c r="BRF46" s="312"/>
      <c r="BRG46" s="656"/>
      <c r="BRH46" s="657"/>
      <c r="BRI46" s="656"/>
      <c r="BRJ46" s="657"/>
      <c r="BRK46" s="656"/>
      <c r="BRL46" s="658"/>
      <c r="BRM46" s="656"/>
      <c r="BRN46" s="658"/>
      <c r="BRQ46" s="288"/>
      <c r="BRR46" s="312"/>
      <c r="BRS46" s="482"/>
      <c r="BRT46" s="312"/>
      <c r="BRU46" s="656"/>
      <c r="BRV46" s="657"/>
      <c r="BRW46" s="656"/>
      <c r="BRX46" s="657"/>
      <c r="BRY46" s="656"/>
      <c r="BRZ46" s="658"/>
      <c r="BSA46" s="656"/>
      <c r="BSB46" s="658"/>
      <c r="BSE46" s="288"/>
      <c r="BSF46" s="312"/>
      <c r="BSG46" s="482"/>
      <c r="BSH46" s="312"/>
      <c r="BSI46" s="656"/>
      <c r="BSJ46" s="657"/>
      <c r="BSK46" s="656"/>
      <c r="BSL46" s="657"/>
      <c r="BSM46" s="656"/>
      <c r="BSN46" s="658"/>
      <c r="BSO46" s="656"/>
      <c r="BSP46" s="658"/>
      <c r="BSS46" s="288"/>
      <c r="BST46" s="312"/>
      <c r="BSU46" s="482"/>
      <c r="BSV46" s="312"/>
      <c r="BSW46" s="656"/>
      <c r="BSX46" s="657"/>
      <c r="BSY46" s="656"/>
      <c r="BSZ46" s="657"/>
      <c r="BTA46" s="656"/>
      <c r="BTB46" s="658"/>
      <c r="BTC46" s="656"/>
      <c r="BTD46" s="658"/>
      <c r="BTG46" s="288"/>
      <c r="BTH46" s="312"/>
      <c r="BTI46" s="482"/>
      <c r="BTJ46" s="312"/>
      <c r="BTK46" s="656"/>
      <c r="BTL46" s="657"/>
      <c r="BTM46" s="656"/>
      <c r="BTN46" s="657"/>
      <c r="BTO46" s="656"/>
      <c r="BTP46" s="658"/>
      <c r="BTQ46" s="656"/>
      <c r="BTR46" s="658"/>
      <c r="BTU46" s="288"/>
      <c r="BTV46" s="312"/>
      <c r="BTW46" s="482"/>
      <c r="BTX46" s="312"/>
      <c r="BTY46" s="656"/>
      <c r="BTZ46" s="657"/>
      <c r="BUA46" s="656"/>
      <c r="BUB46" s="657"/>
      <c r="BUC46" s="656"/>
      <c r="BUD46" s="658"/>
      <c r="BUE46" s="656"/>
      <c r="BUF46" s="658"/>
      <c r="BUI46" s="288"/>
      <c r="BUJ46" s="312"/>
      <c r="BUK46" s="482"/>
      <c r="BUL46" s="312"/>
      <c r="BUM46" s="656"/>
      <c r="BUN46" s="657"/>
      <c r="BUO46" s="656"/>
      <c r="BUP46" s="657"/>
      <c r="BUQ46" s="656"/>
      <c r="BUR46" s="658"/>
      <c r="BUS46" s="656"/>
      <c r="BUT46" s="658"/>
      <c r="BUW46" s="288"/>
      <c r="BUX46" s="312"/>
      <c r="BUY46" s="482"/>
      <c r="BUZ46" s="312"/>
      <c r="BVA46" s="656"/>
      <c r="BVB46" s="657"/>
      <c r="BVC46" s="656"/>
      <c r="BVD46" s="657"/>
      <c r="BVE46" s="656"/>
      <c r="BVF46" s="658"/>
      <c r="BVG46" s="656"/>
      <c r="BVH46" s="658"/>
      <c r="BVK46" s="288"/>
      <c r="BVL46" s="312"/>
      <c r="BVM46" s="482"/>
      <c r="BVN46" s="312"/>
      <c r="BVO46" s="656"/>
      <c r="BVP46" s="657"/>
      <c r="BVQ46" s="656"/>
      <c r="BVR46" s="657"/>
      <c r="BVS46" s="656"/>
      <c r="BVT46" s="658"/>
      <c r="BVU46" s="656"/>
      <c r="BVV46" s="658"/>
      <c r="BVY46" s="288"/>
      <c r="BVZ46" s="312"/>
      <c r="BWA46" s="482"/>
      <c r="BWB46" s="312"/>
      <c r="BWC46" s="656"/>
      <c r="BWD46" s="657"/>
      <c r="BWE46" s="656"/>
      <c r="BWF46" s="657"/>
      <c r="BWG46" s="656"/>
      <c r="BWH46" s="658"/>
      <c r="BWI46" s="656"/>
      <c r="BWJ46" s="658"/>
      <c r="BWM46" s="288"/>
      <c r="BWN46" s="312"/>
      <c r="BWO46" s="482"/>
      <c r="BWP46" s="312"/>
      <c r="BWQ46" s="656"/>
      <c r="BWR46" s="657"/>
      <c r="BWS46" s="656"/>
      <c r="BWT46" s="657"/>
      <c r="BWU46" s="656"/>
      <c r="BWV46" s="658"/>
      <c r="BWW46" s="656"/>
      <c r="BWX46" s="658"/>
      <c r="BXA46" s="288"/>
      <c r="BXB46" s="312"/>
      <c r="BXC46" s="482"/>
      <c r="BXD46" s="312"/>
      <c r="BXE46" s="656"/>
      <c r="BXF46" s="657"/>
      <c r="BXG46" s="656"/>
      <c r="BXH46" s="657"/>
      <c r="BXI46" s="656"/>
      <c r="BXJ46" s="658"/>
      <c r="BXK46" s="656"/>
      <c r="BXL46" s="658"/>
      <c r="BXO46" s="288"/>
      <c r="BXP46" s="312"/>
      <c r="BXQ46" s="482"/>
      <c r="BXR46" s="312"/>
      <c r="BXS46" s="656"/>
      <c r="BXT46" s="657"/>
      <c r="BXU46" s="656"/>
      <c r="BXV46" s="657"/>
      <c r="BXW46" s="656"/>
      <c r="BXX46" s="658"/>
      <c r="BXY46" s="656"/>
      <c r="BXZ46" s="658"/>
      <c r="BYC46" s="288"/>
      <c r="BYD46" s="312"/>
      <c r="BYE46" s="482"/>
      <c r="BYF46" s="312"/>
      <c r="BYG46" s="656"/>
      <c r="BYH46" s="657"/>
      <c r="BYI46" s="656"/>
      <c r="BYJ46" s="657"/>
      <c r="BYK46" s="656"/>
      <c r="BYL46" s="658"/>
      <c r="BYM46" s="656"/>
      <c r="BYN46" s="658"/>
      <c r="BYQ46" s="288"/>
      <c r="BYR46" s="312"/>
      <c r="BYS46" s="482"/>
      <c r="BYT46" s="312"/>
      <c r="BYU46" s="656"/>
      <c r="BYV46" s="657"/>
      <c r="BYW46" s="656"/>
      <c r="BYX46" s="657"/>
      <c r="BYY46" s="656"/>
      <c r="BYZ46" s="658"/>
      <c r="BZA46" s="656"/>
      <c r="BZB46" s="658"/>
      <c r="BZE46" s="288"/>
      <c r="BZF46" s="312"/>
      <c r="BZG46" s="482"/>
      <c r="BZH46" s="312"/>
      <c r="BZI46" s="656"/>
      <c r="BZJ46" s="657"/>
      <c r="BZK46" s="656"/>
      <c r="BZL46" s="657"/>
      <c r="BZM46" s="656"/>
      <c r="BZN46" s="658"/>
      <c r="BZO46" s="656"/>
      <c r="BZP46" s="658"/>
      <c r="BZS46" s="288"/>
      <c r="BZT46" s="312"/>
      <c r="BZU46" s="482"/>
      <c r="BZV46" s="312"/>
      <c r="BZW46" s="656"/>
      <c r="BZX46" s="657"/>
      <c r="BZY46" s="656"/>
      <c r="BZZ46" s="657"/>
      <c r="CAA46" s="656"/>
      <c r="CAB46" s="658"/>
      <c r="CAC46" s="656"/>
      <c r="CAD46" s="658"/>
      <c r="CAG46" s="288"/>
      <c r="CAH46" s="312"/>
      <c r="CAI46" s="482"/>
      <c r="CAJ46" s="312"/>
      <c r="CAK46" s="656"/>
      <c r="CAL46" s="657"/>
      <c r="CAM46" s="656"/>
      <c r="CAN46" s="657"/>
      <c r="CAO46" s="656"/>
      <c r="CAP46" s="658"/>
      <c r="CAQ46" s="656"/>
      <c r="CAR46" s="658"/>
      <c r="CAU46" s="288"/>
      <c r="CAV46" s="312"/>
      <c r="CAW46" s="482"/>
      <c r="CAX46" s="312"/>
      <c r="CAY46" s="656"/>
      <c r="CAZ46" s="657"/>
      <c r="CBA46" s="656"/>
      <c r="CBB46" s="657"/>
      <c r="CBC46" s="656"/>
      <c r="CBD46" s="658"/>
      <c r="CBE46" s="656"/>
      <c r="CBF46" s="658"/>
      <c r="CBI46" s="288"/>
      <c r="CBJ46" s="312"/>
      <c r="CBK46" s="482"/>
      <c r="CBL46" s="312"/>
      <c r="CBM46" s="656"/>
      <c r="CBN46" s="657"/>
      <c r="CBO46" s="656"/>
      <c r="CBP46" s="657"/>
      <c r="CBQ46" s="656"/>
      <c r="CBR46" s="658"/>
      <c r="CBS46" s="656"/>
      <c r="CBT46" s="658"/>
      <c r="CBW46" s="288"/>
      <c r="CBX46" s="312"/>
      <c r="CBY46" s="482"/>
      <c r="CBZ46" s="312"/>
      <c r="CCA46" s="656"/>
      <c r="CCB46" s="657"/>
      <c r="CCC46" s="656"/>
      <c r="CCD46" s="657"/>
      <c r="CCE46" s="656"/>
      <c r="CCF46" s="658"/>
      <c r="CCG46" s="656"/>
      <c r="CCH46" s="658"/>
      <c r="CCK46" s="288"/>
      <c r="CCL46" s="312"/>
      <c r="CCM46" s="482"/>
      <c r="CCN46" s="312"/>
      <c r="CCO46" s="656"/>
      <c r="CCP46" s="657"/>
      <c r="CCQ46" s="656"/>
      <c r="CCR46" s="657"/>
      <c r="CCS46" s="656"/>
      <c r="CCT46" s="658"/>
      <c r="CCU46" s="656"/>
      <c r="CCV46" s="658"/>
      <c r="CCY46" s="288"/>
      <c r="CCZ46" s="312"/>
      <c r="CDA46" s="482"/>
      <c r="CDB46" s="312"/>
      <c r="CDC46" s="656"/>
      <c r="CDD46" s="657"/>
      <c r="CDE46" s="656"/>
      <c r="CDF46" s="657"/>
      <c r="CDG46" s="656"/>
      <c r="CDH46" s="658"/>
      <c r="CDI46" s="656"/>
      <c r="CDJ46" s="658"/>
      <c r="CDM46" s="288"/>
      <c r="CDN46" s="312"/>
      <c r="CDO46" s="482"/>
      <c r="CDP46" s="312"/>
      <c r="CDQ46" s="656"/>
      <c r="CDR46" s="657"/>
      <c r="CDS46" s="656"/>
      <c r="CDT46" s="657"/>
      <c r="CDU46" s="656"/>
      <c r="CDV46" s="658"/>
      <c r="CDW46" s="656"/>
      <c r="CDX46" s="658"/>
      <c r="CEA46" s="288"/>
      <c r="CEB46" s="312"/>
      <c r="CEC46" s="482"/>
      <c r="CED46" s="312"/>
      <c r="CEE46" s="656"/>
      <c r="CEF46" s="657"/>
      <c r="CEG46" s="656"/>
      <c r="CEH46" s="657"/>
      <c r="CEI46" s="656"/>
      <c r="CEJ46" s="658"/>
      <c r="CEK46" s="656"/>
      <c r="CEL46" s="658"/>
      <c r="CEO46" s="288"/>
      <c r="CEP46" s="312"/>
      <c r="CEQ46" s="482"/>
      <c r="CER46" s="312"/>
      <c r="CES46" s="656"/>
      <c r="CET46" s="657"/>
      <c r="CEU46" s="656"/>
      <c r="CEV46" s="657"/>
      <c r="CEW46" s="656"/>
      <c r="CEX46" s="658"/>
      <c r="CEY46" s="656"/>
      <c r="CEZ46" s="658"/>
      <c r="CFC46" s="288"/>
      <c r="CFD46" s="312"/>
      <c r="CFE46" s="482"/>
      <c r="CFF46" s="312"/>
      <c r="CFG46" s="656"/>
      <c r="CFH46" s="657"/>
      <c r="CFI46" s="656"/>
      <c r="CFJ46" s="657"/>
      <c r="CFK46" s="656"/>
      <c r="CFL46" s="658"/>
      <c r="CFM46" s="656"/>
      <c r="CFN46" s="658"/>
      <c r="CFQ46" s="288"/>
      <c r="CFR46" s="312"/>
      <c r="CFS46" s="482"/>
      <c r="CFT46" s="312"/>
      <c r="CFU46" s="656"/>
      <c r="CFV46" s="657"/>
      <c r="CFW46" s="656"/>
      <c r="CFX46" s="657"/>
      <c r="CFY46" s="656"/>
      <c r="CFZ46" s="658"/>
      <c r="CGA46" s="656"/>
      <c r="CGB46" s="658"/>
      <c r="CGE46" s="288"/>
      <c r="CGF46" s="312"/>
      <c r="CGG46" s="482"/>
      <c r="CGH46" s="312"/>
      <c r="CGI46" s="656"/>
      <c r="CGJ46" s="657"/>
      <c r="CGK46" s="656"/>
      <c r="CGL46" s="657"/>
      <c r="CGM46" s="656"/>
      <c r="CGN46" s="658"/>
      <c r="CGO46" s="656"/>
      <c r="CGP46" s="658"/>
      <c r="CGS46" s="288"/>
      <c r="CGT46" s="312"/>
      <c r="CGU46" s="482"/>
      <c r="CGV46" s="312"/>
      <c r="CGW46" s="656"/>
      <c r="CGX46" s="657"/>
      <c r="CGY46" s="656"/>
      <c r="CGZ46" s="657"/>
      <c r="CHA46" s="656"/>
      <c r="CHB46" s="658"/>
      <c r="CHC46" s="656"/>
      <c r="CHD46" s="658"/>
      <c r="CHG46" s="288"/>
      <c r="CHH46" s="312"/>
      <c r="CHI46" s="482"/>
      <c r="CHJ46" s="312"/>
      <c r="CHK46" s="656"/>
      <c r="CHL46" s="657"/>
      <c r="CHM46" s="656"/>
      <c r="CHN46" s="657"/>
      <c r="CHO46" s="656"/>
      <c r="CHP46" s="658"/>
      <c r="CHQ46" s="656"/>
      <c r="CHR46" s="658"/>
      <c r="CHU46" s="288"/>
      <c r="CHV46" s="312"/>
      <c r="CHW46" s="482"/>
      <c r="CHX46" s="312"/>
      <c r="CHY46" s="656"/>
      <c r="CHZ46" s="657"/>
      <c r="CIA46" s="656"/>
      <c r="CIB46" s="657"/>
      <c r="CIC46" s="656"/>
      <c r="CID46" s="658"/>
      <c r="CIE46" s="656"/>
      <c r="CIF46" s="658"/>
      <c r="CII46" s="288"/>
      <c r="CIJ46" s="312"/>
      <c r="CIK46" s="482"/>
      <c r="CIL46" s="312"/>
      <c r="CIM46" s="656"/>
      <c r="CIN46" s="657"/>
      <c r="CIO46" s="656"/>
      <c r="CIP46" s="657"/>
      <c r="CIQ46" s="656"/>
      <c r="CIR46" s="658"/>
      <c r="CIS46" s="656"/>
      <c r="CIT46" s="658"/>
      <c r="CIW46" s="288"/>
      <c r="CIX46" s="312"/>
      <c r="CIY46" s="482"/>
      <c r="CIZ46" s="312"/>
      <c r="CJA46" s="656"/>
      <c r="CJB46" s="657"/>
      <c r="CJC46" s="656"/>
      <c r="CJD46" s="657"/>
      <c r="CJE46" s="656"/>
      <c r="CJF46" s="658"/>
      <c r="CJG46" s="656"/>
      <c r="CJH46" s="658"/>
      <c r="CJK46" s="288"/>
      <c r="CJL46" s="312"/>
      <c r="CJM46" s="482"/>
      <c r="CJN46" s="312"/>
      <c r="CJO46" s="656"/>
      <c r="CJP46" s="657"/>
      <c r="CJQ46" s="656"/>
      <c r="CJR46" s="657"/>
      <c r="CJS46" s="656"/>
      <c r="CJT46" s="658"/>
      <c r="CJU46" s="656"/>
      <c r="CJV46" s="658"/>
      <c r="CJY46" s="288"/>
      <c r="CJZ46" s="312"/>
      <c r="CKA46" s="482"/>
      <c r="CKB46" s="312"/>
      <c r="CKC46" s="656"/>
      <c r="CKD46" s="657"/>
      <c r="CKE46" s="656"/>
      <c r="CKF46" s="657"/>
      <c r="CKG46" s="656"/>
      <c r="CKH46" s="658"/>
      <c r="CKI46" s="656"/>
      <c r="CKJ46" s="658"/>
      <c r="CKM46" s="288"/>
      <c r="CKN46" s="312"/>
      <c r="CKO46" s="482"/>
      <c r="CKP46" s="312"/>
      <c r="CKQ46" s="656"/>
      <c r="CKR46" s="657"/>
      <c r="CKS46" s="656"/>
      <c r="CKT46" s="657"/>
      <c r="CKU46" s="656"/>
      <c r="CKV46" s="658"/>
      <c r="CKW46" s="656"/>
      <c r="CKX46" s="658"/>
      <c r="CLA46" s="288"/>
      <c r="CLB46" s="312"/>
      <c r="CLC46" s="482"/>
      <c r="CLD46" s="312"/>
      <c r="CLE46" s="656"/>
      <c r="CLF46" s="657"/>
      <c r="CLG46" s="656"/>
      <c r="CLH46" s="657"/>
      <c r="CLI46" s="656"/>
      <c r="CLJ46" s="658"/>
      <c r="CLK46" s="656"/>
      <c r="CLL46" s="658"/>
      <c r="CLO46" s="288"/>
      <c r="CLP46" s="312"/>
      <c r="CLQ46" s="482"/>
      <c r="CLR46" s="312"/>
      <c r="CLS46" s="656"/>
      <c r="CLT46" s="657"/>
      <c r="CLU46" s="656"/>
      <c r="CLV46" s="657"/>
      <c r="CLW46" s="656"/>
      <c r="CLX46" s="658"/>
      <c r="CLY46" s="656"/>
      <c r="CLZ46" s="658"/>
      <c r="CMC46" s="288"/>
      <c r="CMD46" s="312"/>
      <c r="CME46" s="482"/>
      <c r="CMF46" s="312"/>
      <c r="CMG46" s="656"/>
      <c r="CMH46" s="657"/>
      <c r="CMI46" s="656"/>
      <c r="CMJ46" s="657"/>
      <c r="CMK46" s="656"/>
      <c r="CML46" s="658"/>
      <c r="CMM46" s="656"/>
      <c r="CMN46" s="658"/>
      <c r="CMQ46" s="288"/>
      <c r="CMR46" s="312"/>
      <c r="CMS46" s="482"/>
      <c r="CMT46" s="312"/>
      <c r="CMU46" s="656"/>
      <c r="CMV46" s="657"/>
      <c r="CMW46" s="656"/>
      <c r="CMX46" s="657"/>
      <c r="CMY46" s="656"/>
      <c r="CMZ46" s="658"/>
      <c r="CNA46" s="656"/>
      <c r="CNB46" s="658"/>
      <c r="CNE46" s="288"/>
      <c r="CNF46" s="312"/>
      <c r="CNG46" s="482"/>
      <c r="CNH46" s="312"/>
      <c r="CNI46" s="656"/>
      <c r="CNJ46" s="657"/>
      <c r="CNK46" s="656"/>
      <c r="CNL46" s="657"/>
      <c r="CNM46" s="656"/>
      <c r="CNN46" s="658"/>
      <c r="CNO46" s="656"/>
      <c r="CNP46" s="658"/>
      <c r="CNS46" s="288"/>
      <c r="CNT46" s="312"/>
      <c r="CNU46" s="482"/>
      <c r="CNV46" s="312"/>
      <c r="CNW46" s="656"/>
      <c r="CNX46" s="657"/>
      <c r="CNY46" s="656"/>
      <c r="CNZ46" s="657"/>
      <c r="COA46" s="656"/>
      <c r="COB46" s="658"/>
      <c r="COC46" s="656"/>
      <c r="COD46" s="658"/>
      <c r="COG46" s="288"/>
      <c r="COH46" s="312"/>
      <c r="COI46" s="482"/>
      <c r="COJ46" s="312"/>
      <c r="COK46" s="656"/>
      <c r="COL46" s="657"/>
      <c r="COM46" s="656"/>
      <c r="CON46" s="657"/>
      <c r="COO46" s="656"/>
      <c r="COP46" s="658"/>
      <c r="COQ46" s="656"/>
      <c r="COR46" s="658"/>
      <c r="COU46" s="288"/>
      <c r="COV46" s="312"/>
      <c r="COW46" s="482"/>
      <c r="COX46" s="312"/>
      <c r="COY46" s="656"/>
      <c r="COZ46" s="657"/>
      <c r="CPA46" s="656"/>
      <c r="CPB46" s="657"/>
      <c r="CPC46" s="656"/>
      <c r="CPD46" s="658"/>
      <c r="CPE46" s="656"/>
      <c r="CPF46" s="658"/>
      <c r="CPI46" s="288"/>
      <c r="CPJ46" s="312"/>
      <c r="CPK46" s="482"/>
      <c r="CPL46" s="312"/>
      <c r="CPM46" s="656"/>
      <c r="CPN46" s="657"/>
      <c r="CPO46" s="656"/>
      <c r="CPP46" s="657"/>
      <c r="CPQ46" s="656"/>
      <c r="CPR46" s="658"/>
      <c r="CPS46" s="656"/>
      <c r="CPT46" s="658"/>
      <c r="CPW46" s="288"/>
      <c r="CPX46" s="312"/>
      <c r="CPY46" s="482"/>
      <c r="CPZ46" s="312"/>
      <c r="CQA46" s="656"/>
      <c r="CQB46" s="657"/>
      <c r="CQC46" s="656"/>
      <c r="CQD46" s="657"/>
      <c r="CQE46" s="656"/>
      <c r="CQF46" s="658"/>
      <c r="CQG46" s="656"/>
      <c r="CQH46" s="658"/>
      <c r="CQK46" s="288"/>
      <c r="CQL46" s="312"/>
      <c r="CQM46" s="482"/>
      <c r="CQN46" s="312"/>
      <c r="CQO46" s="656"/>
      <c r="CQP46" s="657"/>
      <c r="CQQ46" s="656"/>
      <c r="CQR46" s="657"/>
      <c r="CQS46" s="656"/>
      <c r="CQT46" s="658"/>
      <c r="CQU46" s="656"/>
      <c r="CQV46" s="658"/>
      <c r="CQY46" s="288"/>
      <c r="CQZ46" s="312"/>
      <c r="CRA46" s="482"/>
      <c r="CRB46" s="312"/>
      <c r="CRC46" s="656"/>
      <c r="CRD46" s="657"/>
      <c r="CRE46" s="656"/>
      <c r="CRF46" s="657"/>
      <c r="CRG46" s="656"/>
      <c r="CRH46" s="658"/>
      <c r="CRI46" s="656"/>
      <c r="CRJ46" s="658"/>
      <c r="CRM46" s="288"/>
      <c r="CRN46" s="312"/>
      <c r="CRO46" s="482"/>
      <c r="CRP46" s="312"/>
      <c r="CRQ46" s="656"/>
      <c r="CRR46" s="657"/>
      <c r="CRS46" s="656"/>
      <c r="CRT46" s="657"/>
      <c r="CRU46" s="656"/>
      <c r="CRV46" s="658"/>
      <c r="CRW46" s="656"/>
      <c r="CRX46" s="658"/>
      <c r="CSA46" s="288"/>
      <c r="CSB46" s="312"/>
      <c r="CSC46" s="482"/>
      <c r="CSD46" s="312"/>
      <c r="CSE46" s="656"/>
      <c r="CSF46" s="657"/>
      <c r="CSG46" s="656"/>
      <c r="CSH46" s="657"/>
      <c r="CSI46" s="656"/>
      <c r="CSJ46" s="658"/>
      <c r="CSK46" s="656"/>
      <c r="CSL46" s="658"/>
      <c r="CSO46" s="288"/>
      <c r="CSP46" s="312"/>
      <c r="CSQ46" s="482"/>
      <c r="CSR46" s="312"/>
      <c r="CSS46" s="656"/>
      <c r="CST46" s="657"/>
      <c r="CSU46" s="656"/>
      <c r="CSV46" s="657"/>
      <c r="CSW46" s="656"/>
      <c r="CSX46" s="658"/>
      <c r="CSY46" s="656"/>
      <c r="CSZ46" s="658"/>
      <c r="CTC46" s="288"/>
      <c r="CTD46" s="312"/>
      <c r="CTE46" s="482"/>
      <c r="CTF46" s="312"/>
      <c r="CTG46" s="656"/>
      <c r="CTH46" s="657"/>
      <c r="CTI46" s="656"/>
      <c r="CTJ46" s="657"/>
      <c r="CTK46" s="656"/>
      <c r="CTL46" s="658"/>
      <c r="CTM46" s="656"/>
      <c r="CTN46" s="658"/>
      <c r="CTQ46" s="288"/>
      <c r="CTR46" s="312"/>
      <c r="CTS46" s="482"/>
      <c r="CTT46" s="312"/>
      <c r="CTU46" s="656"/>
      <c r="CTV46" s="657"/>
      <c r="CTW46" s="656"/>
      <c r="CTX46" s="657"/>
      <c r="CTY46" s="656"/>
      <c r="CTZ46" s="658"/>
      <c r="CUA46" s="656"/>
      <c r="CUB46" s="658"/>
      <c r="CUE46" s="288"/>
      <c r="CUF46" s="312"/>
      <c r="CUG46" s="482"/>
      <c r="CUH46" s="312"/>
      <c r="CUI46" s="656"/>
      <c r="CUJ46" s="657"/>
      <c r="CUK46" s="656"/>
      <c r="CUL46" s="657"/>
      <c r="CUM46" s="656"/>
      <c r="CUN46" s="658"/>
      <c r="CUO46" s="656"/>
      <c r="CUP46" s="658"/>
      <c r="CUS46" s="288"/>
      <c r="CUT46" s="312"/>
      <c r="CUU46" s="482"/>
      <c r="CUV46" s="312"/>
      <c r="CUW46" s="656"/>
      <c r="CUX46" s="657"/>
      <c r="CUY46" s="656"/>
      <c r="CUZ46" s="657"/>
      <c r="CVA46" s="656"/>
      <c r="CVB46" s="658"/>
      <c r="CVC46" s="656"/>
      <c r="CVD46" s="658"/>
      <c r="CVG46" s="288"/>
      <c r="CVH46" s="312"/>
      <c r="CVI46" s="482"/>
      <c r="CVJ46" s="312"/>
      <c r="CVK46" s="656"/>
      <c r="CVL46" s="657"/>
      <c r="CVM46" s="656"/>
      <c r="CVN46" s="657"/>
      <c r="CVO46" s="656"/>
      <c r="CVP46" s="658"/>
      <c r="CVQ46" s="656"/>
      <c r="CVR46" s="658"/>
      <c r="CVU46" s="288"/>
      <c r="CVV46" s="312"/>
      <c r="CVW46" s="482"/>
      <c r="CVX46" s="312"/>
      <c r="CVY46" s="656"/>
      <c r="CVZ46" s="657"/>
      <c r="CWA46" s="656"/>
      <c r="CWB46" s="657"/>
      <c r="CWC46" s="656"/>
      <c r="CWD46" s="658"/>
      <c r="CWE46" s="656"/>
      <c r="CWF46" s="658"/>
      <c r="CWI46" s="288"/>
      <c r="CWJ46" s="312"/>
      <c r="CWK46" s="482"/>
      <c r="CWL46" s="312"/>
      <c r="CWM46" s="656"/>
      <c r="CWN46" s="657"/>
      <c r="CWO46" s="656"/>
      <c r="CWP46" s="657"/>
      <c r="CWQ46" s="656"/>
      <c r="CWR46" s="658"/>
      <c r="CWS46" s="656"/>
      <c r="CWT46" s="658"/>
      <c r="CWW46" s="288"/>
      <c r="CWX46" s="312"/>
      <c r="CWY46" s="482"/>
      <c r="CWZ46" s="312"/>
      <c r="CXA46" s="656"/>
      <c r="CXB46" s="657"/>
      <c r="CXC46" s="656"/>
      <c r="CXD46" s="657"/>
      <c r="CXE46" s="656"/>
      <c r="CXF46" s="658"/>
      <c r="CXG46" s="656"/>
      <c r="CXH46" s="658"/>
      <c r="CXK46" s="288"/>
      <c r="CXL46" s="312"/>
      <c r="CXM46" s="482"/>
      <c r="CXN46" s="312"/>
      <c r="CXO46" s="656"/>
      <c r="CXP46" s="657"/>
      <c r="CXQ46" s="656"/>
      <c r="CXR46" s="657"/>
      <c r="CXS46" s="656"/>
      <c r="CXT46" s="658"/>
      <c r="CXU46" s="656"/>
      <c r="CXV46" s="658"/>
      <c r="CXY46" s="288"/>
      <c r="CXZ46" s="312"/>
      <c r="CYA46" s="482"/>
      <c r="CYB46" s="312"/>
      <c r="CYC46" s="656"/>
      <c r="CYD46" s="657"/>
      <c r="CYE46" s="656"/>
      <c r="CYF46" s="657"/>
      <c r="CYG46" s="656"/>
      <c r="CYH46" s="658"/>
      <c r="CYI46" s="656"/>
      <c r="CYJ46" s="658"/>
      <c r="CYM46" s="288"/>
      <c r="CYN46" s="312"/>
      <c r="CYO46" s="482"/>
      <c r="CYP46" s="312"/>
      <c r="CYQ46" s="656"/>
      <c r="CYR46" s="657"/>
      <c r="CYS46" s="656"/>
      <c r="CYT46" s="657"/>
      <c r="CYU46" s="656"/>
      <c r="CYV46" s="658"/>
      <c r="CYW46" s="656"/>
      <c r="CYX46" s="658"/>
      <c r="CZA46" s="288"/>
      <c r="CZB46" s="312"/>
      <c r="CZC46" s="482"/>
      <c r="CZD46" s="312"/>
      <c r="CZE46" s="656"/>
      <c r="CZF46" s="657"/>
      <c r="CZG46" s="656"/>
      <c r="CZH46" s="657"/>
      <c r="CZI46" s="656"/>
      <c r="CZJ46" s="658"/>
      <c r="CZK46" s="656"/>
      <c r="CZL46" s="658"/>
      <c r="CZO46" s="288"/>
      <c r="CZP46" s="312"/>
      <c r="CZQ46" s="482"/>
      <c r="CZR46" s="312"/>
      <c r="CZS46" s="656"/>
      <c r="CZT46" s="657"/>
      <c r="CZU46" s="656"/>
      <c r="CZV46" s="657"/>
      <c r="CZW46" s="656"/>
      <c r="CZX46" s="658"/>
      <c r="CZY46" s="656"/>
      <c r="CZZ46" s="658"/>
      <c r="DAC46" s="288"/>
      <c r="DAD46" s="312"/>
      <c r="DAE46" s="482"/>
      <c r="DAF46" s="312"/>
      <c r="DAG46" s="656"/>
      <c r="DAH46" s="657"/>
      <c r="DAI46" s="656"/>
      <c r="DAJ46" s="657"/>
      <c r="DAK46" s="656"/>
      <c r="DAL46" s="658"/>
      <c r="DAM46" s="656"/>
      <c r="DAN46" s="658"/>
      <c r="DAQ46" s="288"/>
      <c r="DAR46" s="312"/>
      <c r="DAS46" s="482"/>
      <c r="DAT46" s="312"/>
      <c r="DAU46" s="656"/>
      <c r="DAV46" s="657"/>
      <c r="DAW46" s="656"/>
      <c r="DAX46" s="657"/>
      <c r="DAY46" s="656"/>
      <c r="DAZ46" s="658"/>
      <c r="DBA46" s="656"/>
      <c r="DBB46" s="658"/>
      <c r="DBE46" s="288"/>
      <c r="DBF46" s="312"/>
      <c r="DBG46" s="482"/>
      <c r="DBH46" s="312"/>
      <c r="DBI46" s="656"/>
      <c r="DBJ46" s="657"/>
      <c r="DBK46" s="656"/>
      <c r="DBL46" s="657"/>
      <c r="DBM46" s="656"/>
      <c r="DBN46" s="658"/>
      <c r="DBO46" s="656"/>
      <c r="DBP46" s="658"/>
      <c r="DBS46" s="288"/>
      <c r="DBT46" s="312"/>
      <c r="DBU46" s="482"/>
      <c r="DBV46" s="312"/>
      <c r="DBW46" s="656"/>
      <c r="DBX46" s="657"/>
      <c r="DBY46" s="656"/>
      <c r="DBZ46" s="657"/>
      <c r="DCA46" s="656"/>
      <c r="DCB46" s="658"/>
      <c r="DCC46" s="656"/>
      <c r="DCD46" s="658"/>
      <c r="DCG46" s="288"/>
      <c r="DCH46" s="312"/>
      <c r="DCI46" s="482"/>
      <c r="DCJ46" s="312"/>
      <c r="DCK46" s="656"/>
      <c r="DCL46" s="657"/>
      <c r="DCM46" s="656"/>
      <c r="DCN46" s="657"/>
      <c r="DCO46" s="656"/>
      <c r="DCP46" s="658"/>
      <c r="DCQ46" s="656"/>
      <c r="DCR46" s="658"/>
      <c r="DCU46" s="288"/>
      <c r="DCV46" s="312"/>
      <c r="DCW46" s="482"/>
      <c r="DCX46" s="312"/>
      <c r="DCY46" s="656"/>
      <c r="DCZ46" s="657"/>
      <c r="DDA46" s="656"/>
      <c r="DDB46" s="657"/>
      <c r="DDC46" s="656"/>
      <c r="DDD46" s="658"/>
      <c r="DDE46" s="656"/>
      <c r="DDF46" s="658"/>
      <c r="DDI46" s="288"/>
      <c r="DDJ46" s="312"/>
      <c r="DDK46" s="482"/>
      <c r="DDL46" s="312"/>
      <c r="DDM46" s="656"/>
      <c r="DDN46" s="657"/>
      <c r="DDO46" s="656"/>
      <c r="DDP46" s="657"/>
      <c r="DDQ46" s="656"/>
      <c r="DDR46" s="658"/>
      <c r="DDS46" s="656"/>
      <c r="DDT46" s="658"/>
      <c r="DDW46" s="288"/>
      <c r="DDX46" s="312"/>
      <c r="DDY46" s="482"/>
      <c r="DDZ46" s="312"/>
      <c r="DEA46" s="656"/>
      <c r="DEB46" s="657"/>
      <c r="DEC46" s="656"/>
      <c r="DED46" s="657"/>
      <c r="DEE46" s="656"/>
      <c r="DEF46" s="658"/>
      <c r="DEG46" s="656"/>
      <c r="DEH46" s="658"/>
      <c r="DEK46" s="288"/>
      <c r="DEL46" s="312"/>
      <c r="DEM46" s="482"/>
      <c r="DEN46" s="312"/>
      <c r="DEO46" s="656"/>
      <c r="DEP46" s="657"/>
      <c r="DEQ46" s="656"/>
      <c r="DER46" s="657"/>
      <c r="DES46" s="656"/>
      <c r="DET46" s="658"/>
      <c r="DEU46" s="656"/>
      <c r="DEV46" s="658"/>
      <c r="DEY46" s="288"/>
      <c r="DEZ46" s="312"/>
      <c r="DFA46" s="482"/>
      <c r="DFB46" s="312"/>
      <c r="DFC46" s="656"/>
      <c r="DFD46" s="657"/>
      <c r="DFE46" s="656"/>
      <c r="DFF46" s="657"/>
      <c r="DFG46" s="656"/>
      <c r="DFH46" s="658"/>
      <c r="DFI46" s="656"/>
      <c r="DFJ46" s="658"/>
      <c r="DFM46" s="288"/>
      <c r="DFN46" s="312"/>
      <c r="DFO46" s="482"/>
      <c r="DFP46" s="312"/>
      <c r="DFQ46" s="656"/>
      <c r="DFR46" s="657"/>
      <c r="DFS46" s="656"/>
      <c r="DFT46" s="657"/>
      <c r="DFU46" s="656"/>
      <c r="DFV46" s="658"/>
      <c r="DFW46" s="656"/>
      <c r="DFX46" s="658"/>
      <c r="DGA46" s="288"/>
      <c r="DGB46" s="312"/>
      <c r="DGC46" s="482"/>
      <c r="DGD46" s="312"/>
      <c r="DGE46" s="656"/>
      <c r="DGF46" s="657"/>
      <c r="DGG46" s="656"/>
      <c r="DGH46" s="657"/>
      <c r="DGI46" s="656"/>
      <c r="DGJ46" s="658"/>
      <c r="DGK46" s="656"/>
      <c r="DGL46" s="658"/>
      <c r="DGO46" s="288"/>
      <c r="DGP46" s="312"/>
      <c r="DGQ46" s="482"/>
      <c r="DGR46" s="312"/>
      <c r="DGS46" s="656"/>
      <c r="DGT46" s="657"/>
      <c r="DGU46" s="656"/>
      <c r="DGV46" s="657"/>
      <c r="DGW46" s="656"/>
      <c r="DGX46" s="658"/>
      <c r="DGY46" s="656"/>
      <c r="DGZ46" s="658"/>
      <c r="DHC46" s="288"/>
      <c r="DHD46" s="312"/>
      <c r="DHE46" s="482"/>
      <c r="DHF46" s="312"/>
      <c r="DHG46" s="656"/>
      <c r="DHH46" s="657"/>
      <c r="DHI46" s="656"/>
      <c r="DHJ46" s="657"/>
      <c r="DHK46" s="656"/>
      <c r="DHL46" s="658"/>
      <c r="DHM46" s="656"/>
      <c r="DHN46" s="658"/>
      <c r="DHQ46" s="288"/>
      <c r="DHR46" s="312"/>
      <c r="DHS46" s="482"/>
      <c r="DHT46" s="312"/>
      <c r="DHU46" s="656"/>
      <c r="DHV46" s="657"/>
      <c r="DHW46" s="656"/>
      <c r="DHX46" s="657"/>
      <c r="DHY46" s="656"/>
      <c r="DHZ46" s="658"/>
      <c r="DIA46" s="656"/>
      <c r="DIB46" s="658"/>
      <c r="DIE46" s="288"/>
      <c r="DIF46" s="312"/>
      <c r="DIG46" s="482"/>
      <c r="DIH46" s="312"/>
      <c r="DII46" s="656"/>
      <c r="DIJ46" s="657"/>
      <c r="DIK46" s="656"/>
      <c r="DIL46" s="657"/>
      <c r="DIM46" s="656"/>
      <c r="DIN46" s="658"/>
      <c r="DIO46" s="656"/>
      <c r="DIP46" s="658"/>
      <c r="DIS46" s="288"/>
      <c r="DIT46" s="312"/>
      <c r="DIU46" s="482"/>
      <c r="DIV46" s="312"/>
      <c r="DIW46" s="656"/>
      <c r="DIX46" s="657"/>
      <c r="DIY46" s="656"/>
      <c r="DIZ46" s="657"/>
      <c r="DJA46" s="656"/>
      <c r="DJB46" s="658"/>
      <c r="DJC46" s="656"/>
      <c r="DJD46" s="658"/>
      <c r="DJG46" s="288"/>
      <c r="DJH46" s="312"/>
      <c r="DJI46" s="482"/>
      <c r="DJJ46" s="312"/>
      <c r="DJK46" s="656"/>
      <c r="DJL46" s="657"/>
      <c r="DJM46" s="656"/>
      <c r="DJN46" s="657"/>
      <c r="DJO46" s="656"/>
      <c r="DJP46" s="658"/>
      <c r="DJQ46" s="656"/>
      <c r="DJR46" s="658"/>
      <c r="DJU46" s="288"/>
      <c r="DJV46" s="312"/>
      <c r="DJW46" s="482"/>
      <c r="DJX46" s="312"/>
      <c r="DJY46" s="656"/>
      <c r="DJZ46" s="657"/>
      <c r="DKA46" s="656"/>
      <c r="DKB46" s="657"/>
      <c r="DKC46" s="656"/>
      <c r="DKD46" s="658"/>
      <c r="DKE46" s="656"/>
      <c r="DKF46" s="658"/>
      <c r="DKI46" s="288"/>
      <c r="DKJ46" s="312"/>
      <c r="DKK46" s="482"/>
      <c r="DKL46" s="312"/>
      <c r="DKM46" s="656"/>
      <c r="DKN46" s="657"/>
      <c r="DKO46" s="656"/>
      <c r="DKP46" s="657"/>
      <c r="DKQ46" s="656"/>
      <c r="DKR46" s="658"/>
      <c r="DKS46" s="656"/>
      <c r="DKT46" s="658"/>
      <c r="DKW46" s="288"/>
      <c r="DKX46" s="312"/>
      <c r="DKY46" s="482"/>
      <c r="DKZ46" s="312"/>
      <c r="DLA46" s="656"/>
      <c r="DLB46" s="657"/>
      <c r="DLC46" s="656"/>
      <c r="DLD46" s="657"/>
      <c r="DLE46" s="656"/>
      <c r="DLF46" s="658"/>
      <c r="DLG46" s="656"/>
      <c r="DLH46" s="658"/>
      <c r="DLK46" s="288"/>
      <c r="DLL46" s="312"/>
      <c r="DLM46" s="482"/>
      <c r="DLN46" s="312"/>
      <c r="DLO46" s="656"/>
      <c r="DLP46" s="657"/>
      <c r="DLQ46" s="656"/>
      <c r="DLR46" s="657"/>
      <c r="DLS46" s="656"/>
      <c r="DLT46" s="658"/>
      <c r="DLU46" s="656"/>
      <c r="DLV46" s="658"/>
      <c r="DLY46" s="288"/>
      <c r="DLZ46" s="312"/>
      <c r="DMA46" s="482"/>
      <c r="DMB46" s="312"/>
      <c r="DMC46" s="656"/>
      <c r="DMD46" s="657"/>
      <c r="DME46" s="656"/>
      <c r="DMF46" s="657"/>
      <c r="DMG46" s="656"/>
      <c r="DMH46" s="658"/>
      <c r="DMI46" s="656"/>
      <c r="DMJ46" s="658"/>
      <c r="DMM46" s="288"/>
      <c r="DMN46" s="312"/>
      <c r="DMO46" s="482"/>
      <c r="DMP46" s="312"/>
      <c r="DMQ46" s="656"/>
      <c r="DMR46" s="657"/>
      <c r="DMS46" s="656"/>
      <c r="DMT46" s="657"/>
      <c r="DMU46" s="656"/>
      <c r="DMV46" s="658"/>
      <c r="DMW46" s="656"/>
      <c r="DMX46" s="658"/>
      <c r="DNA46" s="288"/>
      <c r="DNB46" s="312"/>
      <c r="DNC46" s="482"/>
      <c r="DND46" s="312"/>
      <c r="DNE46" s="656"/>
      <c r="DNF46" s="657"/>
      <c r="DNG46" s="656"/>
      <c r="DNH46" s="657"/>
      <c r="DNI46" s="656"/>
      <c r="DNJ46" s="658"/>
      <c r="DNK46" s="656"/>
      <c r="DNL46" s="658"/>
      <c r="DNO46" s="288"/>
      <c r="DNP46" s="312"/>
      <c r="DNQ46" s="482"/>
      <c r="DNR46" s="312"/>
      <c r="DNS46" s="656"/>
      <c r="DNT46" s="657"/>
      <c r="DNU46" s="656"/>
      <c r="DNV46" s="657"/>
      <c r="DNW46" s="656"/>
      <c r="DNX46" s="658"/>
      <c r="DNY46" s="656"/>
      <c r="DNZ46" s="658"/>
      <c r="DOC46" s="288"/>
      <c r="DOD46" s="312"/>
      <c r="DOE46" s="482"/>
      <c r="DOF46" s="312"/>
      <c r="DOG46" s="656"/>
      <c r="DOH46" s="657"/>
      <c r="DOI46" s="656"/>
      <c r="DOJ46" s="657"/>
      <c r="DOK46" s="656"/>
      <c r="DOL46" s="658"/>
      <c r="DOM46" s="656"/>
      <c r="DON46" s="658"/>
      <c r="DOQ46" s="288"/>
      <c r="DOR46" s="312"/>
      <c r="DOS46" s="482"/>
      <c r="DOT46" s="312"/>
      <c r="DOU46" s="656"/>
      <c r="DOV46" s="657"/>
      <c r="DOW46" s="656"/>
      <c r="DOX46" s="657"/>
      <c r="DOY46" s="656"/>
      <c r="DOZ46" s="658"/>
      <c r="DPA46" s="656"/>
      <c r="DPB46" s="658"/>
      <c r="DPE46" s="288"/>
      <c r="DPF46" s="312"/>
      <c r="DPG46" s="482"/>
      <c r="DPH46" s="312"/>
      <c r="DPI46" s="656"/>
      <c r="DPJ46" s="657"/>
      <c r="DPK46" s="656"/>
      <c r="DPL46" s="657"/>
      <c r="DPM46" s="656"/>
      <c r="DPN46" s="658"/>
      <c r="DPO46" s="656"/>
      <c r="DPP46" s="658"/>
      <c r="DPS46" s="288"/>
      <c r="DPT46" s="312"/>
      <c r="DPU46" s="482"/>
      <c r="DPV46" s="312"/>
      <c r="DPW46" s="656"/>
      <c r="DPX46" s="657"/>
      <c r="DPY46" s="656"/>
      <c r="DPZ46" s="657"/>
      <c r="DQA46" s="656"/>
      <c r="DQB46" s="658"/>
      <c r="DQC46" s="656"/>
      <c r="DQD46" s="658"/>
      <c r="DQG46" s="288"/>
      <c r="DQH46" s="312"/>
      <c r="DQI46" s="482"/>
      <c r="DQJ46" s="312"/>
      <c r="DQK46" s="656"/>
      <c r="DQL46" s="657"/>
      <c r="DQM46" s="656"/>
      <c r="DQN46" s="657"/>
      <c r="DQO46" s="656"/>
      <c r="DQP46" s="658"/>
      <c r="DQQ46" s="656"/>
      <c r="DQR46" s="658"/>
      <c r="DQU46" s="288"/>
      <c r="DQV46" s="312"/>
      <c r="DQW46" s="482"/>
      <c r="DQX46" s="312"/>
      <c r="DQY46" s="656"/>
      <c r="DQZ46" s="657"/>
      <c r="DRA46" s="656"/>
      <c r="DRB46" s="657"/>
      <c r="DRC46" s="656"/>
      <c r="DRD46" s="658"/>
      <c r="DRE46" s="656"/>
      <c r="DRF46" s="658"/>
      <c r="DRI46" s="288"/>
      <c r="DRJ46" s="312"/>
      <c r="DRK46" s="482"/>
      <c r="DRL46" s="312"/>
      <c r="DRM46" s="656"/>
      <c r="DRN46" s="657"/>
      <c r="DRO46" s="656"/>
      <c r="DRP46" s="657"/>
      <c r="DRQ46" s="656"/>
      <c r="DRR46" s="658"/>
      <c r="DRS46" s="656"/>
      <c r="DRT46" s="658"/>
      <c r="DRW46" s="288"/>
      <c r="DRX46" s="312"/>
      <c r="DRY46" s="482"/>
      <c r="DRZ46" s="312"/>
      <c r="DSA46" s="656"/>
      <c r="DSB46" s="657"/>
      <c r="DSC46" s="656"/>
      <c r="DSD46" s="657"/>
      <c r="DSE46" s="656"/>
      <c r="DSF46" s="658"/>
      <c r="DSG46" s="656"/>
      <c r="DSH46" s="658"/>
      <c r="DSK46" s="288"/>
      <c r="DSL46" s="312"/>
      <c r="DSM46" s="482"/>
      <c r="DSN46" s="312"/>
      <c r="DSO46" s="656"/>
      <c r="DSP46" s="657"/>
      <c r="DSQ46" s="656"/>
      <c r="DSR46" s="657"/>
      <c r="DSS46" s="656"/>
      <c r="DST46" s="658"/>
      <c r="DSU46" s="656"/>
      <c r="DSV46" s="658"/>
      <c r="DSY46" s="288"/>
      <c r="DSZ46" s="312"/>
      <c r="DTA46" s="482"/>
      <c r="DTB46" s="312"/>
      <c r="DTC46" s="656"/>
      <c r="DTD46" s="657"/>
      <c r="DTE46" s="656"/>
      <c r="DTF46" s="657"/>
      <c r="DTG46" s="656"/>
      <c r="DTH46" s="658"/>
      <c r="DTI46" s="656"/>
      <c r="DTJ46" s="658"/>
      <c r="DTM46" s="288"/>
      <c r="DTN46" s="312"/>
      <c r="DTO46" s="482"/>
      <c r="DTP46" s="312"/>
      <c r="DTQ46" s="656"/>
      <c r="DTR46" s="657"/>
      <c r="DTS46" s="656"/>
      <c r="DTT46" s="657"/>
      <c r="DTU46" s="656"/>
      <c r="DTV46" s="658"/>
      <c r="DTW46" s="656"/>
      <c r="DTX46" s="658"/>
      <c r="DUA46" s="288"/>
      <c r="DUB46" s="312"/>
      <c r="DUC46" s="482"/>
      <c r="DUD46" s="312"/>
      <c r="DUE46" s="656"/>
      <c r="DUF46" s="657"/>
      <c r="DUG46" s="656"/>
      <c r="DUH46" s="657"/>
      <c r="DUI46" s="656"/>
      <c r="DUJ46" s="658"/>
      <c r="DUK46" s="656"/>
      <c r="DUL46" s="658"/>
      <c r="DUO46" s="288"/>
      <c r="DUP46" s="312"/>
      <c r="DUQ46" s="482"/>
      <c r="DUR46" s="312"/>
      <c r="DUS46" s="656"/>
      <c r="DUT46" s="657"/>
      <c r="DUU46" s="656"/>
      <c r="DUV46" s="657"/>
      <c r="DUW46" s="656"/>
      <c r="DUX46" s="658"/>
      <c r="DUY46" s="656"/>
      <c r="DUZ46" s="658"/>
      <c r="DVC46" s="288"/>
      <c r="DVD46" s="312"/>
      <c r="DVE46" s="482"/>
      <c r="DVF46" s="312"/>
      <c r="DVG46" s="656"/>
      <c r="DVH46" s="657"/>
      <c r="DVI46" s="656"/>
      <c r="DVJ46" s="657"/>
      <c r="DVK46" s="656"/>
      <c r="DVL46" s="658"/>
      <c r="DVM46" s="656"/>
      <c r="DVN46" s="658"/>
      <c r="DVQ46" s="288"/>
      <c r="DVR46" s="312"/>
      <c r="DVS46" s="482"/>
      <c r="DVT46" s="312"/>
      <c r="DVU46" s="656"/>
      <c r="DVV46" s="657"/>
      <c r="DVW46" s="656"/>
      <c r="DVX46" s="657"/>
      <c r="DVY46" s="656"/>
      <c r="DVZ46" s="658"/>
      <c r="DWA46" s="656"/>
      <c r="DWB46" s="658"/>
      <c r="DWE46" s="288"/>
      <c r="DWF46" s="312"/>
      <c r="DWG46" s="482"/>
      <c r="DWH46" s="312"/>
      <c r="DWI46" s="656"/>
      <c r="DWJ46" s="657"/>
      <c r="DWK46" s="656"/>
      <c r="DWL46" s="657"/>
      <c r="DWM46" s="656"/>
      <c r="DWN46" s="658"/>
      <c r="DWO46" s="656"/>
      <c r="DWP46" s="658"/>
      <c r="DWS46" s="288"/>
      <c r="DWT46" s="312"/>
      <c r="DWU46" s="482"/>
      <c r="DWV46" s="312"/>
      <c r="DWW46" s="656"/>
      <c r="DWX46" s="657"/>
      <c r="DWY46" s="656"/>
      <c r="DWZ46" s="657"/>
      <c r="DXA46" s="656"/>
      <c r="DXB46" s="658"/>
      <c r="DXC46" s="656"/>
      <c r="DXD46" s="658"/>
      <c r="DXG46" s="288"/>
      <c r="DXH46" s="312"/>
      <c r="DXI46" s="482"/>
      <c r="DXJ46" s="312"/>
      <c r="DXK46" s="656"/>
      <c r="DXL46" s="657"/>
      <c r="DXM46" s="656"/>
      <c r="DXN46" s="657"/>
      <c r="DXO46" s="656"/>
      <c r="DXP46" s="658"/>
      <c r="DXQ46" s="656"/>
      <c r="DXR46" s="658"/>
      <c r="DXU46" s="288"/>
      <c r="DXV46" s="312"/>
      <c r="DXW46" s="482"/>
      <c r="DXX46" s="312"/>
      <c r="DXY46" s="656"/>
      <c r="DXZ46" s="657"/>
      <c r="DYA46" s="656"/>
      <c r="DYB46" s="657"/>
      <c r="DYC46" s="656"/>
      <c r="DYD46" s="658"/>
      <c r="DYE46" s="656"/>
      <c r="DYF46" s="658"/>
      <c r="DYI46" s="288"/>
      <c r="DYJ46" s="312"/>
      <c r="DYK46" s="482"/>
      <c r="DYL46" s="312"/>
      <c r="DYM46" s="656"/>
      <c r="DYN46" s="657"/>
      <c r="DYO46" s="656"/>
      <c r="DYP46" s="657"/>
      <c r="DYQ46" s="656"/>
      <c r="DYR46" s="658"/>
      <c r="DYS46" s="656"/>
      <c r="DYT46" s="658"/>
      <c r="DYW46" s="288"/>
      <c r="DYX46" s="312"/>
      <c r="DYY46" s="482"/>
      <c r="DYZ46" s="312"/>
      <c r="DZA46" s="656"/>
      <c r="DZB46" s="657"/>
      <c r="DZC46" s="656"/>
      <c r="DZD46" s="657"/>
      <c r="DZE46" s="656"/>
      <c r="DZF46" s="658"/>
      <c r="DZG46" s="656"/>
      <c r="DZH46" s="658"/>
      <c r="DZK46" s="288"/>
      <c r="DZL46" s="312"/>
      <c r="DZM46" s="482"/>
      <c r="DZN46" s="312"/>
      <c r="DZO46" s="656"/>
      <c r="DZP46" s="657"/>
      <c r="DZQ46" s="656"/>
      <c r="DZR46" s="657"/>
      <c r="DZS46" s="656"/>
      <c r="DZT46" s="658"/>
      <c r="DZU46" s="656"/>
      <c r="DZV46" s="658"/>
      <c r="DZY46" s="288"/>
      <c r="DZZ46" s="312"/>
      <c r="EAA46" s="482"/>
      <c r="EAB46" s="312"/>
      <c r="EAC46" s="656"/>
      <c r="EAD46" s="657"/>
      <c r="EAE46" s="656"/>
      <c r="EAF46" s="657"/>
      <c r="EAG46" s="656"/>
      <c r="EAH46" s="658"/>
      <c r="EAI46" s="656"/>
      <c r="EAJ46" s="658"/>
      <c r="EAM46" s="288"/>
      <c r="EAN46" s="312"/>
      <c r="EAO46" s="482"/>
      <c r="EAP46" s="312"/>
      <c r="EAQ46" s="656"/>
      <c r="EAR46" s="657"/>
      <c r="EAS46" s="656"/>
      <c r="EAT46" s="657"/>
      <c r="EAU46" s="656"/>
      <c r="EAV46" s="658"/>
      <c r="EAW46" s="656"/>
      <c r="EAX46" s="658"/>
      <c r="EBA46" s="288"/>
      <c r="EBB46" s="312"/>
      <c r="EBC46" s="482"/>
      <c r="EBD46" s="312"/>
      <c r="EBE46" s="656"/>
      <c r="EBF46" s="657"/>
      <c r="EBG46" s="656"/>
      <c r="EBH46" s="657"/>
      <c r="EBI46" s="656"/>
      <c r="EBJ46" s="658"/>
      <c r="EBK46" s="656"/>
      <c r="EBL46" s="658"/>
      <c r="EBO46" s="288"/>
      <c r="EBP46" s="312"/>
      <c r="EBQ46" s="482"/>
      <c r="EBR46" s="312"/>
      <c r="EBS46" s="656"/>
      <c r="EBT46" s="657"/>
      <c r="EBU46" s="656"/>
      <c r="EBV46" s="657"/>
      <c r="EBW46" s="656"/>
      <c r="EBX46" s="658"/>
      <c r="EBY46" s="656"/>
      <c r="EBZ46" s="658"/>
      <c r="ECC46" s="288"/>
      <c r="ECD46" s="312"/>
      <c r="ECE46" s="482"/>
      <c r="ECF46" s="312"/>
      <c r="ECG46" s="656"/>
      <c r="ECH46" s="657"/>
      <c r="ECI46" s="656"/>
      <c r="ECJ46" s="657"/>
      <c r="ECK46" s="656"/>
      <c r="ECL46" s="658"/>
      <c r="ECM46" s="656"/>
      <c r="ECN46" s="658"/>
      <c r="ECQ46" s="288"/>
      <c r="ECR46" s="312"/>
      <c r="ECS46" s="482"/>
      <c r="ECT46" s="312"/>
      <c r="ECU46" s="656"/>
      <c r="ECV46" s="657"/>
      <c r="ECW46" s="656"/>
      <c r="ECX46" s="657"/>
      <c r="ECY46" s="656"/>
      <c r="ECZ46" s="658"/>
      <c r="EDA46" s="656"/>
      <c r="EDB46" s="658"/>
      <c r="EDE46" s="288"/>
      <c r="EDF46" s="312"/>
      <c r="EDG46" s="482"/>
      <c r="EDH46" s="312"/>
      <c r="EDI46" s="656"/>
      <c r="EDJ46" s="657"/>
      <c r="EDK46" s="656"/>
      <c r="EDL46" s="657"/>
      <c r="EDM46" s="656"/>
      <c r="EDN46" s="658"/>
      <c r="EDO46" s="656"/>
      <c r="EDP46" s="658"/>
      <c r="EDS46" s="288"/>
      <c r="EDT46" s="312"/>
      <c r="EDU46" s="482"/>
      <c r="EDV46" s="312"/>
      <c r="EDW46" s="656"/>
      <c r="EDX46" s="657"/>
      <c r="EDY46" s="656"/>
      <c r="EDZ46" s="657"/>
      <c r="EEA46" s="656"/>
      <c r="EEB46" s="658"/>
      <c r="EEC46" s="656"/>
      <c r="EED46" s="658"/>
      <c r="EEG46" s="288"/>
      <c r="EEH46" s="312"/>
      <c r="EEI46" s="482"/>
      <c r="EEJ46" s="312"/>
      <c r="EEK46" s="656"/>
      <c r="EEL46" s="657"/>
      <c r="EEM46" s="656"/>
      <c r="EEN46" s="657"/>
      <c r="EEO46" s="656"/>
      <c r="EEP46" s="658"/>
      <c r="EEQ46" s="656"/>
      <c r="EER46" s="658"/>
      <c r="EEU46" s="288"/>
      <c r="EEV46" s="312"/>
      <c r="EEW46" s="482"/>
      <c r="EEX46" s="312"/>
      <c r="EEY46" s="656"/>
      <c r="EEZ46" s="657"/>
      <c r="EFA46" s="656"/>
      <c r="EFB46" s="657"/>
      <c r="EFC46" s="656"/>
      <c r="EFD46" s="658"/>
      <c r="EFE46" s="656"/>
      <c r="EFF46" s="658"/>
      <c r="EFI46" s="288"/>
      <c r="EFJ46" s="312"/>
      <c r="EFK46" s="482"/>
      <c r="EFL46" s="312"/>
      <c r="EFM46" s="656"/>
      <c r="EFN46" s="657"/>
      <c r="EFO46" s="656"/>
      <c r="EFP46" s="657"/>
      <c r="EFQ46" s="656"/>
      <c r="EFR46" s="658"/>
      <c r="EFS46" s="656"/>
      <c r="EFT46" s="658"/>
      <c r="EFW46" s="288"/>
      <c r="EFX46" s="312"/>
      <c r="EFY46" s="482"/>
      <c r="EFZ46" s="312"/>
      <c r="EGA46" s="656"/>
      <c r="EGB46" s="657"/>
      <c r="EGC46" s="656"/>
      <c r="EGD46" s="657"/>
      <c r="EGE46" s="656"/>
      <c r="EGF46" s="658"/>
      <c r="EGG46" s="656"/>
      <c r="EGH46" s="658"/>
      <c r="EGK46" s="288"/>
      <c r="EGL46" s="312"/>
      <c r="EGM46" s="482"/>
      <c r="EGN46" s="312"/>
      <c r="EGO46" s="656"/>
      <c r="EGP46" s="657"/>
      <c r="EGQ46" s="656"/>
      <c r="EGR46" s="657"/>
      <c r="EGS46" s="656"/>
      <c r="EGT46" s="658"/>
      <c r="EGU46" s="656"/>
      <c r="EGV46" s="658"/>
      <c r="EGY46" s="288"/>
      <c r="EGZ46" s="312"/>
      <c r="EHA46" s="482"/>
      <c r="EHB46" s="312"/>
      <c r="EHC46" s="656"/>
      <c r="EHD46" s="657"/>
      <c r="EHE46" s="656"/>
      <c r="EHF46" s="657"/>
      <c r="EHG46" s="656"/>
      <c r="EHH46" s="658"/>
      <c r="EHI46" s="656"/>
      <c r="EHJ46" s="658"/>
      <c r="EHM46" s="288"/>
      <c r="EHN46" s="312"/>
      <c r="EHO46" s="482"/>
      <c r="EHP46" s="312"/>
      <c r="EHQ46" s="656"/>
      <c r="EHR46" s="657"/>
      <c r="EHS46" s="656"/>
      <c r="EHT46" s="657"/>
      <c r="EHU46" s="656"/>
      <c r="EHV46" s="658"/>
      <c r="EHW46" s="656"/>
      <c r="EHX46" s="658"/>
      <c r="EIA46" s="288"/>
      <c r="EIB46" s="312"/>
      <c r="EIC46" s="482"/>
      <c r="EID46" s="312"/>
      <c r="EIE46" s="656"/>
      <c r="EIF46" s="657"/>
      <c r="EIG46" s="656"/>
      <c r="EIH46" s="657"/>
      <c r="EII46" s="656"/>
      <c r="EIJ46" s="658"/>
      <c r="EIK46" s="656"/>
      <c r="EIL46" s="658"/>
      <c r="EIO46" s="288"/>
      <c r="EIP46" s="312"/>
      <c r="EIQ46" s="482"/>
      <c r="EIR46" s="312"/>
      <c r="EIS46" s="656"/>
      <c r="EIT46" s="657"/>
      <c r="EIU46" s="656"/>
      <c r="EIV46" s="657"/>
      <c r="EIW46" s="656"/>
      <c r="EIX46" s="658"/>
      <c r="EIY46" s="656"/>
      <c r="EIZ46" s="658"/>
      <c r="EJC46" s="288"/>
      <c r="EJD46" s="312"/>
      <c r="EJE46" s="482"/>
      <c r="EJF46" s="312"/>
      <c r="EJG46" s="656"/>
      <c r="EJH46" s="657"/>
      <c r="EJI46" s="656"/>
      <c r="EJJ46" s="657"/>
      <c r="EJK46" s="656"/>
      <c r="EJL46" s="658"/>
      <c r="EJM46" s="656"/>
      <c r="EJN46" s="658"/>
      <c r="EJQ46" s="288"/>
      <c r="EJR46" s="312"/>
      <c r="EJS46" s="482"/>
      <c r="EJT46" s="312"/>
      <c r="EJU46" s="656"/>
      <c r="EJV46" s="657"/>
      <c r="EJW46" s="656"/>
      <c r="EJX46" s="657"/>
      <c r="EJY46" s="656"/>
      <c r="EJZ46" s="658"/>
      <c r="EKA46" s="656"/>
      <c r="EKB46" s="658"/>
      <c r="EKE46" s="288"/>
      <c r="EKF46" s="312"/>
      <c r="EKG46" s="482"/>
      <c r="EKH46" s="312"/>
      <c r="EKI46" s="656"/>
      <c r="EKJ46" s="657"/>
      <c r="EKK46" s="656"/>
      <c r="EKL46" s="657"/>
      <c r="EKM46" s="656"/>
      <c r="EKN46" s="658"/>
      <c r="EKO46" s="656"/>
      <c r="EKP46" s="658"/>
      <c r="EKS46" s="288"/>
      <c r="EKT46" s="312"/>
      <c r="EKU46" s="482"/>
      <c r="EKV46" s="312"/>
      <c r="EKW46" s="656"/>
      <c r="EKX46" s="657"/>
      <c r="EKY46" s="656"/>
      <c r="EKZ46" s="657"/>
      <c r="ELA46" s="656"/>
      <c r="ELB46" s="658"/>
      <c r="ELC46" s="656"/>
      <c r="ELD46" s="658"/>
      <c r="ELG46" s="288"/>
      <c r="ELH46" s="312"/>
      <c r="ELI46" s="482"/>
      <c r="ELJ46" s="312"/>
      <c r="ELK46" s="656"/>
      <c r="ELL46" s="657"/>
      <c r="ELM46" s="656"/>
      <c r="ELN46" s="657"/>
      <c r="ELO46" s="656"/>
      <c r="ELP46" s="658"/>
      <c r="ELQ46" s="656"/>
      <c r="ELR46" s="658"/>
      <c r="ELU46" s="288"/>
      <c r="ELV46" s="312"/>
      <c r="ELW46" s="482"/>
      <c r="ELX46" s="312"/>
      <c r="ELY46" s="656"/>
      <c r="ELZ46" s="657"/>
      <c r="EMA46" s="656"/>
      <c r="EMB46" s="657"/>
      <c r="EMC46" s="656"/>
      <c r="EMD46" s="658"/>
      <c r="EME46" s="656"/>
      <c r="EMF46" s="658"/>
      <c r="EMI46" s="288"/>
      <c r="EMJ46" s="312"/>
      <c r="EMK46" s="482"/>
      <c r="EML46" s="312"/>
      <c r="EMM46" s="656"/>
      <c r="EMN46" s="657"/>
      <c r="EMO46" s="656"/>
      <c r="EMP46" s="657"/>
      <c r="EMQ46" s="656"/>
      <c r="EMR46" s="658"/>
      <c r="EMS46" s="656"/>
      <c r="EMT46" s="658"/>
      <c r="EMW46" s="288"/>
      <c r="EMX46" s="312"/>
      <c r="EMY46" s="482"/>
      <c r="EMZ46" s="312"/>
      <c r="ENA46" s="656"/>
      <c r="ENB46" s="657"/>
      <c r="ENC46" s="656"/>
      <c r="END46" s="657"/>
      <c r="ENE46" s="656"/>
      <c r="ENF46" s="658"/>
      <c r="ENG46" s="656"/>
      <c r="ENH46" s="658"/>
      <c r="ENK46" s="288"/>
      <c r="ENL46" s="312"/>
      <c r="ENM46" s="482"/>
      <c r="ENN46" s="312"/>
      <c r="ENO46" s="656"/>
      <c r="ENP46" s="657"/>
      <c r="ENQ46" s="656"/>
      <c r="ENR46" s="657"/>
      <c r="ENS46" s="656"/>
      <c r="ENT46" s="658"/>
      <c r="ENU46" s="656"/>
      <c r="ENV46" s="658"/>
      <c r="ENY46" s="288"/>
      <c r="ENZ46" s="312"/>
      <c r="EOA46" s="482"/>
      <c r="EOB46" s="312"/>
      <c r="EOC46" s="656"/>
      <c r="EOD46" s="657"/>
      <c r="EOE46" s="656"/>
      <c r="EOF46" s="657"/>
      <c r="EOG46" s="656"/>
      <c r="EOH46" s="658"/>
      <c r="EOI46" s="656"/>
      <c r="EOJ46" s="658"/>
      <c r="EOM46" s="288"/>
      <c r="EON46" s="312"/>
      <c r="EOO46" s="482"/>
      <c r="EOP46" s="312"/>
      <c r="EOQ46" s="656"/>
      <c r="EOR46" s="657"/>
      <c r="EOS46" s="656"/>
      <c r="EOT46" s="657"/>
      <c r="EOU46" s="656"/>
      <c r="EOV46" s="658"/>
      <c r="EOW46" s="656"/>
      <c r="EOX46" s="658"/>
      <c r="EPA46" s="288"/>
      <c r="EPB46" s="312"/>
      <c r="EPC46" s="482"/>
      <c r="EPD46" s="312"/>
      <c r="EPE46" s="656"/>
      <c r="EPF46" s="657"/>
      <c r="EPG46" s="656"/>
      <c r="EPH46" s="657"/>
      <c r="EPI46" s="656"/>
      <c r="EPJ46" s="658"/>
      <c r="EPK46" s="656"/>
      <c r="EPL46" s="658"/>
      <c r="EPO46" s="288"/>
      <c r="EPP46" s="312"/>
      <c r="EPQ46" s="482"/>
      <c r="EPR46" s="312"/>
      <c r="EPS46" s="656"/>
      <c r="EPT46" s="657"/>
      <c r="EPU46" s="656"/>
      <c r="EPV46" s="657"/>
      <c r="EPW46" s="656"/>
      <c r="EPX46" s="658"/>
      <c r="EPY46" s="656"/>
      <c r="EPZ46" s="658"/>
      <c r="EQC46" s="288"/>
      <c r="EQD46" s="312"/>
      <c r="EQE46" s="482"/>
      <c r="EQF46" s="312"/>
      <c r="EQG46" s="656"/>
      <c r="EQH46" s="657"/>
      <c r="EQI46" s="656"/>
      <c r="EQJ46" s="657"/>
      <c r="EQK46" s="656"/>
      <c r="EQL46" s="658"/>
      <c r="EQM46" s="656"/>
      <c r="EQN46" s="658"/>
      <c r="EQQ46" s="288"/>
      <c r="EQR46" s="312"/>
      <c r="EQS46" s="482"/>
      <c r="EQT46" s="312"/>
      <c r="EQU46" s="656"/>
      <c r="EQV46" s="657"/>
      <c r="EQW46" s="656"/>
      <c r="EQX46" s="657"/>
      <c r="EQY46" s="656"/>
      <c r="EQZ46" s="658"/>
      <c r="ERA46" s="656"/>
      <c r="ERB46" s="658"/>
      <c r="ERE46" s="288"/>
      <c r="ERF46" s="312"/>
      <c r="ERG46" s="482"/>
      <c r="ERH46" s="312"/>
      <c r="ERI46" s="656"/>
      <c r="ERJ46" s="657"/>
      <c r="ERK46" s="656"/>
      <c r="ERL46" s="657"/>
      <c r="ERM46" s="656"/>
      <c r="ERN46" s="658"/>
      <c r="ERO46" s="656"/>
      <c r="ERP46" s="658"/>
      <c r="ERS46" s="288"/>
      <c r="ERT46" s="312"/>
      <c r="ERU46" s="482"/>
      <c r="ERV46" s="312"/>
      <c r="ERW46" s="656"/>
      <c r="ERX46" s="657"/>
      <c r="ERY46" s="656"/>
      <c r="ERZ46" s="657"/>
      <c r="ESA46" s="656"/>
      <c r="ESB46" s="658"/>
      <c r="ESC46" s="656"/>
      <c r="ESD46" s="658"/>
      <c r="ESG46" s="288"/>
      <c r="ESH46" s="312"/>
      <c r="ESI46" s="482"/>
      <c r="ESJ46" s="312"/>
      <c r="ESK46" s="656"/>
      <c r="ESL46" s="657"/>
      <c r="ESM46" s="656"/>
      <c r="ESN46" s="657"/>
      <c r="ESO46" s="656"/>
      <c r="ESP46" s="658"/>
      <c r="ESQ46" s="656"/>
      <c r="ESR46" s="658"/>
      <c r="ESU46" s="288"/>
      <c r="ESV46" s="312"/>
      <c r="ESW46" s="482"/>
      <c r="ESX46" s="312"/>
      <c r="ESY46" s="656"/>
      <c r="ESZ46" s="657"/>
      <c r="ETA46" s="656"/>
      <c r="ETB46" s="657"/>
      <c r="ETC46" s="656"/>
      <c r="ETD46" s="658"/>
      <c r="ETE46" s="656"/>
      <c r="ETF46" s="658"/>
      <c r="ETI46" s="288"/>
      <c r="ETJ46" s="312"/>
      <c r="ETK46" s="482"/>
      <c r="ETL46" s="312"/>
      <c r="ETM46" s="656"/>
      <c r="ETN46" s="657"/>
      <c r="ETO46" s="656"/>
      <c r="ETP46" s="657"/>
      <c r="ETQ46" s="656"/>
      <c r="ETR46" s="658"/>
      <c r="ETS46" s="656"/>
      <c r="ETT46" s="658"/>
      <c r="ETW46" s="288"/>
      <c r="ETX46" s="312"/>
      <c r="ETY46" s="482"/>
      <c r="ETZ46" s="312"/>
      <c r="EUA46" s="656"/>
      <c r="EUB46" s="657"/>
      <c r="EUC46" s="656"/>
      <c r="EUD46" s="657"/>
      <c r="EUE46" s="656"/>
      <c r="EUF46" s="658"/>
      <c r="EUG46" s="656"/>
      <c r="EUH46" s="658"/>
      <c r="EUK46" s="288"/>
      <c r="EUL46" s="312"/>
      <c r="EUM46" s="482"/>
      <c r="EUN46" s="312"/>
      <c r="EUO46" s="656"/>
      <c r="EUP46" s="657"/>
      <c r="EUQ46" s="656"/>
      <c r="EUR46" s="657"/>
      <c r="EUS46" s="656"/>
      <c r="EUT46" s="658"/>
      <c r="EUU46" s="656"/>
      <c r="EUV46" s="658"/>
      <c r="EUY46" s="288"/>
      <c r="EUZ46" s="312"/>
      <c r="EVA46" s="482"/>
      <c r="EVB46" s="312"/>
      <c r="EVC46" s="656"/>
      <c r="EVD46" s="657"/>
      <c r="EVE46" s="656"/>
      <c r="EVF46" s="657"/>
      <c r="EVG46" s="656"/>
      <c r="EVH46" s="658"/>
      <c r="EVI46" s="656"/>
      <c r="EVJ46" s="658"/>
      <c r="EVM46" s="288"/>
      <c r="EVN46" s="312"/>
      <c r="EVO46" s="482"/>
      <c r="EVP46" s="312"/>
      <c r="EVQ46" s="656"/>
      <c r="EVR46" s="657"/>
      <c r="EVS46" s="656"/>
      <c r="EVT46" s="657"/>
      <c r="EVU46" s="656"/>
      <c r="EVV46" s="658"/>
      <c r="EVW46" s="656"/>
      <c r="EVX46" s="658"/>
      <c r="EWA46" s="288"/>
      <c r="EWB46" s="312"/>
      <c r="EWC46" s="482"/>
      <c r="EWD46" s="312"/>
      <c r="EWE46" s="656"/>
      <c r="EWF46" s="657"/>
      <c r="EWG46" s="656"/>
      <c r="EWH46" s="657"/>
      <c r="EWI46" s="656"/>
      <c r="EWJ46" s="658"/>
      <c r="EWK46" s="656"/>
      <c r="EWL46" s="658"/>
      <c r="EWO46" s="288"/>
      <c r="EWP46" s="312"/>
      <c r="EWQ46" s="482"/>
      <c r="EWR46" s="312"/>
      <c r="EWS46" s="656"/>
      <c r="EWT46" s="657"/>
      <c r="EWU46" s="656"/>
      <c r="EWV46" s="657"/>
      <c r="EWW46" s="656"/>
      <c r="EWX46" s="658"/>
      <c r="EWY46" s="656"/>
      <c r="EWZ46" s="658"/>
      <c r="EXC46" s="288"/>
      <c r="EXD46" s="312"/>
      <c r="EXE46" s="482"/>
      <c r="EXF46" s="312"/>
      <c r="EXG46" s="656"/>
      <c r="EXH46" s="657"/>
      <c r="EXI46" s="656"/>
      <c r="EXJ46" s="657"/>
      <c r="EXK46" s="656"/>
      <c r="EXL46" s="658"/>
      <c r="EXM46" s="656"/>
      <c r="EXN46" s="658"/>
      <c r="EXQ46" s="288"/>
      <c r="EXR46" s="312"/>
      <c r="EXS46" s="482"/>
      <c r="EXT46" s="312"/>
      <c r="EXU46" s="656"/>
      <c r="EXV46" s="657"/>
      <c r="EXW46" s="656"/>
      <c r="EXX46" s="657"/>
      <c r="EXY46" s="656"/>
      <c r="EXZ46" s="658"/>
      <c r="EYA46" s="656"/>
      <c r="EYB46" s="658"/>
      <c r="EYE46" s="288"/>
      <c r="EYF46" s="312"/>
      <c r="EYG46" s="482"/>
      <c r="EYH46" s="312"/>
      <c r="EYI46" s="656"/>
      <c r="EYJ46" s="657"/>
      <c r="EYK46" s="656"/>
      <c r="EYL46" s="657"/>
      <c r="EYM46" s="656"/>
      <c r="EYN46" s="658"/>
      <c r="EYO46" s="656"/>
      <c r="EYP46" s="658"/>
      <c r="EYS46" s="288"/>
      <c r="EYT46" s="312"/>
      <c r="EYU46" s="482"/>
      <c r="EYV46" s="312"/>
      <c r="EYW46" s="656"/>
      <c r="EYX46" s="657"/>
      <c r="EYY46" s="656"/>
      <c r="EYZ46" s="657"/>
      <c r="EZA46" s="656"/>
      <c r="EZB46" s="658"/>
      <c r="EZC46" s="656"/>
      <c r="EZD46" s="658"/>
      <c r="EZG46" s="288"/>
      <c r="EZH46" s="312"/>
      <c r="EZI46" s="482"/>
      <c r="EZJ46" s="312"/>
      <c r="EZK46" s="656"/>
      <c r="EZL46" s="657"/>
      <c r="EZM46" s="656"/>
      <c r="EZN46" s="657"/>
      <c r="EZO46" s="656"/>
      <c r="EZP46" s="658"/>
      <c r="EZQ46" s="656"/>
      <c r="EZR46" s="658"/>
      <c r="EZU46" s="288"/>
      <c r="EZV46" s="312"/>
      <c r="EZW46" s="482"/>
      <c r="EZX46" s="312"/>
      <c r="EZY46" s="656"/>
      <c r="EZZ46" s="657"/>
      <c r="FAA46" s="656"/>
      <c r="FAB46" s="657"/>
      <c r="FAC46" s="656"/>
      <c r="FAD46" s="658"/>
      <c r="FAE46" s="656"/>
      <c r="FAF46" s="658"/>
      <c r="FAI46" s="288"/>
      <c r="FAJ46" s="312"/>
      <c r="FAK46" s="482"/>
      <c r="FAL46" s="312"/>
      <c r="FAM46" s="656"/>
      <c r="FAN46" s="657"/>
      <c r="FAO46" s="656"/>
      <c r="FAP46" s="657"/>
      <c r="FAQ46" s="656"/>
      <c r="FAR46" s="658"/>
      <c r="FAS46" s="656"/>
      <c r="FAT46" s="658"/>
      <c r="FAW46" s="288"/>
      <c r="FAX46" s="312"/>
      <c r="FAY46" s="482"/>
      <c r="FAZ46" s="312"/>
      <c r="FBA46" s="656"/>
      <c r="FBB46" s="657"/>
      <c r="FBC46" s="656"/>
      <c r="FBD46" s="657"/>
      <c r="FBE46" s="656"/>
      <c r="FBF46" s="658"/>
      <c r="FBG46" s="656"/>
      <c r="FBH46" s="658"/>
      <c r="FBK46" s="288"/>
      <c r="FBL46" s="312"/>
      <c r="FBM46" s="482"/>
      <c r="FBN46" s="312"/>
      <c r="FBO46" s="656"/>
      <c r="FBP46" s="657"/>
      <c r="FBQ46" s="656"/>
      <c r="FBR46" s="657"/>
      <c r="FBS46" s="656"/>
      <c r="FBT46" s="658"/>
      <c r="FBU46" s="656"/>
      <c r="FBV46" s="658"/>
      <c r="FBY46" s="288"/>
      <c r="FBZ46" s="312"/>
      <c r="FCA46" s="482"/>
      <c r="FCB46" s="312"/>
      <c r="FCC46" s="656"/>
      <c r="FCD46" s="657"/>
      <c r="FCE46" s="656"/>
      <c r="FCF46" s="657"/>
      <c r="FCG46" s="656"/>
      <c r="FCH46" s="658"/>
      <c r="FCI46" s="656"/>
      <c r="FCJ46" s="658"/>
      <c r="FCM46" s="288"/>
      <c r="FCN46" s="312"/>
      <c r="FCO46" s="482"/>
      <c r="FCP46" s="312"/>
      <c r="FCQ46" s="656"/>
      <c r="FCR46" s="657"/>
      <c r="FCS46" s="656"/>
      <c r="FCT46" s="657"/>
      <c r="FCU46" s="656"/>
      <c r="FCV46" s="658"/>
      <c r="FCW46" s="656"/>
      <c r="FCX46" s="658"/>
      <c r="FDA46" s="288"/>
      <c r="FDB46" s="312"/>
      <c r="FDC46" s="482"/>
      <c r="FDD46" s="312"/>
      <c r="FDE46" s="656"/>
      <c r="FDF46" s="657"/>
      <c r="FDG46" s="656"/>
      <c r="FDH46" s="657"/>
      <c r="FDI46" s="656"/>
      <c r="FDJ46" s="658"/>
      <c r="FDK46" s="656"/>
      <c r="FDL46" s="658"/>
      <c r="FDO46" s="288"/>
      <c r="FDP46" s="312"/>
      <c r="FDQ46" s="482"/>
      <c r="FDR46" s="312"/>
      <c r="FDS46" s="656"/>
      <c r="FDT46" s="657"/>
      <c r="FDU46" s="656"/>
      <c r="FDV46" s="657"/>
      <c r="FDW46" s="656"/>
      <c r="FDX46" s="658"/>
      <c r="FDY46" s="656"/>
      <c r="FDZ46" s="658"/>
      <c r="FEC46" s="288"/>
      <c r="FED46" s="312"/>
      <c r="FEE46" s="482"/>
      <c r="FEF46" s="312"/>
      <c r="FEG46" s="656"/>
      <c r="FEH46" s="657"/>
      <c r="FEI46" s="656"/>
      <c r="FEJ46" s="657"/>
      <c r="FEK46" s="656"/>
      <c r="FEL46" s="658"/>
      <c r="FEM46" s="656"/>
      <c r="FEN46" s="658"/>
      <c r="FEQ46" s="288"/>
      <c r="FER46" s="312"/>
      <c r="FES46" s="482"/>
      <c r="FET46" s="312"/>
      <c r="FEU46" s="656"/>
      <c r="FEV46" s="657"/>
      <c r="FEW46" s="656"/>
      <c r="FEX46" s="657"/>
      <c r="FEY46" s="656"/>
      <c r="FEZ46" s="658"/>
      <c r="FFA46" s="656"/>
      <c r="FFB46" s="658"/>
      <c r="FFE46" s="288"/>
      <c r="FFF46" s="312"/>
      <c r="FFG46" s="482"/>
      <c r="FFH46" s="312"/>
      <c r="FFI46" s="656"/>
      <c r="FFJ46" s="657"/>
      <c r="FFK46" s="656"/>
      <c r="FFL46" s="657"/>
      <c r="FFM46" s="656"/>
      <c r="FFN46" s="658"/>
      <c r="FFO46" s="656"/>
      <c r="FFP46" s="658"/>
      <c r="FFS46" s="288"/>
      <c r="FFT46" s="312"/>
      <c r="FFU46" s="482"/>
      <c r="FFV46" s="312"/>
      <c r="FFW46" s="656"/>
      <c r="FFX46" s="657"/>
      <c r="FFY46" s="656"/>
      <c r="FFZ46" s="657"/>
      <c r="FGA46" s="656"/>
      <c r="FGB46" s="658"/>
      <c r="FGC46" s="656"/>
      <c r="FGD46" s="658"/>
      <c r="FGG46" s="288"/>
      <c r="FGH46" s="312"/>
      <c r="FGI46" s="482"/>
      <c r="FGJ46" s="312"/>
      <c r="FGK46" s="656"/>
      <c r="FGL46" s="657"/>
      <c r="FGM46" s="656"/>
      <c r="FGN46" s="657"/>
      <c r="FGO46" s="656"/>
      <c r="FGP46" s="658"/>
      <c r="FGQ46" s="656"/>
      <c r="FGR46" s="658"/>
      <c r="FGU46" s="288"/>
      <c r="FGV46" s="312"/>
      <c r="FGW46" s="482"/>
      <c r="FGX46" s="312"/>
      <c r="FGY46" s="656"/>
      <c r="FGZ46" s="657"/>
      <c r="FHA46" s="656"/>
      <c r="FHB46" s="657"/>
      <c r="FHC46" s="656"/>
      <c r="FHD46" s="658"/>
      <c r="FHE46" s="656"/>
      <c r="FHF46" s="658"/>
      <c r="FHI46" s="288"/>
      <c r="FHJ46" s="312"/>
      <c r="FHK46" s="482"/>
      <c r="FHL46" s="312"/>
      <c r="FHM46" s="656"/>
      <c r="FHN46" s="657"/>
      <c r="FHO46" s="656"/>
      <c r="FHP46" s="657"/>
      <c r="FHQ46" s="656"/>
      <c r="FHR46" s="658"/>
      <c r="FHS46" s="656"/>
      <c r="FHT46" s="658"/>
      <c r="FHW46" s="288"/>
      <c r="FHX46" s="312"/>
      <c r="FHY46" s="482"/>
      <c r="FHZ46" s="312"/>
      <c r="FIA46" s="656"/>
      <c r="FIB46" s="657"/>
      <c r="FIC46" s="656"/>
      <c r="FID46" s="657"/>
      <c r="FIE46" s="656"/>
      <c r="FIF46" s="658"/>
      <c r="FIG46" s="656"/>
      <c r="FIH46" s="658"/>
      <c r="FIK46" s="288"/>
      <c r="FIL46" s="312"/>
      <c r="FIM46" s="482"/>
      <c r="FIN46" s="312"/>
      <c r="FIO46" s="656"/>
      <c r="FIP46" s="657"/>
      <c r="FIQ46" s="656"/>
      <c r="FIR46" s="657"/>
      <c r="FIS46" s="656"/>
      <c r="FIT46" s="658"/>
      <c r="FIU46" s="656"/>
      <c r="FIV46" s="658"/>
      <c r="FIY46" s="288"/>
      <c r="FIZ46" s="312"/>
      <c r="FJA46" s="482"/>
      <c r="FJB46" s="312"/>
      <c r="FJC46" s="656"/>
      <c r="FJD46" s="657"/>
      <c r="FJE46" s="656"/>
      <c r="FJF46" s="657"/>
      <c r="FJG46" s="656"/>
      <c r="FJH46" s="658"/>
      <c r="FJI46" s="656"/>
      <c r="FJJ46" s="658"/>
      <c r="FJM46" s="288"/>
      <c r="FJN46" s="312"/>
      <c r="FJO46" s="482"/>
      <c r="FJP46" s="312"/>
      <c r="FJQ46" s="656"/>
      <c r="FJR46" s="657"/>
      <c r="FJS46" s="656"/>
      <c r="FJT46" s="657"/>
      <c r="FJU46" s="656"/>
      <c r="FJV46" s="658"/>
      <c r="FJW46" s="656"/>
      <c r="FJX46" s="658"/>
      <c r="FKA46" s="288"/>
      <c r="FKB46" s="312"/>
      <c r="FKC46" s="482"/>
      <c r="FKD46" s="312"/>
      <c r="FKE46" s="656"/>
      <c r="FKF46" s="657"/>
      <c r="FKG46" s="656"/>
      <c r="FKH46" s="657"/>
      <c r="FKI46" s="656"/>
      <c r="FKJ46" s="658"/>
      <c r="FKK46" s="656"/>
      <c r="FKL46" s="658"/>
      <c r="FKO46" s="288"/>
      <c r="FKP46" s="312"/>
      <c r="FKQ46" s="482"/>
      <c r="FKR46" s="312"/>
      <c r="FKS46" s="656"/>
      <c r="FKT46" s="657"/>
      <c r="FKU46" s="656"/>
      <c r="FKV46" s="657"/>
      <c r="FKW46" s="656"/>
      <c r="FKX46" s="658"/>
      <c r="FKY46" s="656"/>
      <c r="FKZ46" s="658"/>
      <c r="FLC46" s="288"/>
      <c r="FLD46" s="312"/>
      <c r="FLE46" s="482"/>
      <c r="FLF46" s="312"/>
      <c r="FLG46" s="656"/>
      <c r="FLH46" s="657"/>
      <c r="FLI46" s="656"/>
      <c r="FLJ46" s="657"/>
      <c r="FLK46" s="656"/>
      <c r="FLL46" s="658"/>
      <c r="FLM46" s="656"/>
      <c r="FLN46" s="658"/>
      <c r="FLQ46" s="288"/>
      <c r="FLR46" s="312"/>
      <c r="FLS46" s="482"/>
      <c r="FLT46" s="312"/>
      <c r="FLU46" s="656"/>
      <c r="FLV46" s="657"/>
      <c r="FLW46" s="656"/>
      <c r="FLX46" s="657"/>
      <c r="FLY46" s="656"/>
      <c r="FLZ46" s="658"/>
      <c r="FMA46" s="656"/>
      <c r="FMB46" s="658"/>
      <c r="FME46" s="288"/>
      <c r="FMF46" s="312"/>
      <c r="FMG46" s="482"/>
      <c r="FMH46" s="312"/>
      <c r="FMI46" s="656"/>
      <c r="FMJ46" s="657"/>
      <c r="FMK46" s="656"/>
      <c r="FML46" s="657"/>
      <c r="FMM46" s="656"/>
      <c r="FMN46" s="658"/>
      <c r="FMO46" s="656"/>
      <c r="FMP46" s="658"/>
      <c r="FMS46" s="288"/>
      <c r="FMT46" s="312"/>
      <c r="FMU46" s="482"/>
      <c r="FMV46" s="312"/>
      <c r="FMW46" s="656"/>
      <c r="FMX46" s="657"/>
      <c r="FMY46" s="656"/>
      <c r="FMZ46" s="657"/>
      <c r="FNA46" s="656"/>
      <c r="FNB46" s="658"/>
      <c r="FNC46" s="656"/>
      <c r="FND46" s="658"/>
      <c r="FNG46" s="288"/>
      <c r="FNH46" s="312"/>
      <c r="FNI46" s="482"/>
      <c r="FNJ46" s="312"/>
      <c r="FNK46" s="656"/>
      <c r="FNL46" s="657"/>
      <c r="FNM46" s="656"/>
      <c r="FNN46" s="657"/>
      <c r="FNO46" s="656"/>
      <c r="FNP46" s="658"/>
      <c r="FNQ46" s="656"/>
      <c r="FNR46" s="658"/>
      <c r="FNU46" s="288"/>
      <c r="FNV46" s="312"/>
      <c r="FNW46" s="482"/>
      <c r="FNX46" s="312"/>
      <c r="FNY46" s="656"/>
      <c r="FNZ46" s="657"/>
      <c r="FOA46" s="656"/>
      <c r="FOB46" s="657"/>
      <c r="FOC46" s="656"/>
      <c r="FOD46" s="658"/>
      <c r="FOE46" s="656"/>
      <c r="FOF46" s="658"/>
      <c r="FOI46" s="288"/>
      <c r="FOJ46" s="312"/>
      <c r="FOK46" s="482"/>
      <c r="FOL46" s="312"/>
      <c r="FOM46" s="656"/>
      <c r="FON46" s="657"/>
      <c r="FOO46" s="656"/>
      <c r="FOP46" s="657"/>
      <c r="FOQ46" s="656"/>
      <c r="FOR46" s="658"/>
      <c r="FOS46" s="656"/>
      <c r="FOT46" s="658"/>
      <c r="FOW46" s="288"/>
      <c r="FOX46" s="312"/>
      <c r="FOY46" s="482"/>
      <c r="FOZ46" s="312"/>
      <c r="FPA46" s="656"/>
      <c r="FPB46" s="657"/>
      <c r="FPC46" s="656"/>
      <c r="FPD46" s="657"/>
      <c r="FPE46" s="656"/>
      <c r="FPF46" s="658"/>
      <c r="FPG46" s="656"/>
      <c r="FPH46" s="658"/>
      <c r="FPK46" s="288"/>
      <c r="FPL46" s="312"/>
      <c r="FPM46" s="482"/>
      <c r="FPN46" s="312"/>
      <c r="FPO46" s="656"/>
      <c r="FPP46" s="657"/>
      <c r="FPQ46" s="656"/>
      <c r="FPR46" s="657"/>
      <c r="FPS46" s="656"/>
      <c r="FPT46" s="658"/>
      <c r="FPU46" s="656"/>
      <c r="FPV46" s="658"/>
      <c r="FPY46" s="288"/>
      <c r="FPZ46" s="312"/>
      <c r="FQA46" s="482"/>
      <c r="FQB46" s="312"/>
      <c r="FQC46" s="656"/>
      <c r="FQD46" s="657"/>
      <c r="FQE46" s="656"/>
      <c r="FQF46" s="657"/>
      <c r="FQG46" s="656"/>
      <c r="FQH46" s="658"/>
      <c r="FQI46" s="656"/>
      <c r="FQJ46" s="658"/>
      <c r="FQM46" s="288"/>
      <c r="FQN46" s="312"/>
      <c r="FQO46" s="482"/>
      <c r="FQP46" s="312"/>
      <c r="FQQ46" s="656"/>
      <c r="FQR46" s="657"/>
      <c r="FQS46" s="656"/>
      <c r="FQT46" s="657"/>
      <c r="FQU46" s="656"/>
      <c r="FQV46" s="658"/>
      <c r="FQW46" s="656"/>
      <c r="FQX46" s="658"/>
      <c r="FRA46" s="288"/>
      <c r="FRB46" s="312"/>
      <c r="FRC46" s="482"/>
      <c r="FRD46" s="312"/>
      <c r="FRE46" s="656"/>
      <c r="FRF46" s="657"/>
      <c r="FRG46" s="656"/>
      <c r="FRH46" s="657"/>
      <c r="FRI46" s="656"/>
      <c r="FRJ46" s="658"/>
      <c r="FRK46" s="656"/>
      <c r="FRL46" s="658"/>
      <c r="FRO46" s="288"/>
      <c r="FRP46" s="312"/>
      <c r="FRQ46" s="482"/>
      <c r="FRR46" s="312"/>
      <c r="FRS46" s="656"/>
      <c r="FRT46" s="657"/>
      <c r="FRU46" s="656"/>
      <c r="FRV46" s="657"/>
      <c r="FRW46" s="656"/>
      <c r="FRX46" s="658"/>
      <c r="FRY46" s="656"/>
      <c r="FRZ46" s="658"/>
      <c r="FSC46" s="288"/>
      <c r="FSD46" s="312"/>
      <c r="FSE46" s="482"/>
      <c r="FSF46" s="312"/>
      <c r="FSG46" s="656"/>
      <c r="FSH46" s="657"/>
      <c r="FSI46" s="656"/>
      <c r="FSJ46" s="657"/>
      <c r="FSK46" s="656"/>
      <c r="FSL46" s="658"/>
      <c r="FSM46" s="656"/>
      <c r="FSN46" s="658"/>
      <c r="FSQ46" s="288"/>
      <c r="FSR46" s="312"/>
      <c r="FSS46" s="482"/>
      <c r="FST46" s="312"/>
      <c r="FSU46" s="656"/>
      <c r="FSV46" s="657"/>
      <c r="FSW46" s="656"/>
      <c r="FSX46" s="657"/>
      <c r="FSY46" s="656"/>
      <c r="FSZ46" s="658"/>
      <c r="FTA46" s="656"/>
      <c r="FTB46" s="658"/>
      <c r="FTE46" s="288"/>
      <c r="FTF46" s="312"/>
      <c r="FTG46" s="482"/>
      <c r="FTH46" s="312"/>
      <c r="FTI46" s="656"/>
      <c r="FTJ46" s="657"/>
      <c r="FTK46" s="656"/>
      <c r="FTL46" s="657"/>
      <c r="FTM46" s="656"/>
      <c r="FTN46" s="658"/>
      <c r="FTO46" s="656"/>
      <c r="FTP46" s="658"/>
      <c r="FTS46" s="288"/>
      <c r="FTT46" s="312"/>
      <c r="FTU46" s="482"/>
      <c r="FTV46" s="312"/>
      <c r="FTW46" s="656"/>
      <c r="FTX46" s="657"/>
      <c r="FTY46" s="656"/>
      <c r="FTZ46" s="657"/>
      <c r="FUA46" s="656"/>
      <c r="FUB46" s="658"/>
      <c r="FUC46" s="656"/>
      <c r="FUD46" s="658"/>
      <c r="FUG46" s="288"/>
      <c r="FUH46" s="312"/>
      <c r="FUI46" s="482"/>
      <c r="FUJ46" s="312"/>
      <c r="FUK46" s="656"/>
      <c r="FUL46" s="657"/>
      <c r="FUM46" s="656"/>
      <c r="FUN46" s="657"/>
      <c r="FUO46" s="656"/>
      <c r="FUP46" s="658"/>
      <c r="FUQ46" s="656"/>
      <c r="FUR46" s="658"/>
      <c r="FUU46" s="288"/>
      <c r="FUV46" s="312"/>
      <c r="FUW46" s="482"/>
      <c r="FUX46" s="312"/>
      <c r="FUY46" s="656"/>
      <c r="FUZ46" s="657"/>
      <c r="FVA46" s="656"/>
      <c r="FVB46" s="657"/>
      <c r="FVC46" s="656"/>
      <c r="FVD46" s="658"/>
      <c r="FVE46" s="656"/>
      <c r="FVF46" s="658"/>
      <c r="FVI46" s="288"/>
      <c r="FVJ46" s="312"/>
      <c r="FVK46" s="482"/>
      <c r="FVL46" s="312"/>
      <c r="FVM46" s="656"/>
      <c r="FVN46" s="657"/>
      <c r="FVO46" s="656"/>
      <c r="FVP46" s="657"/>
      <c r="FVQ46" s="656"/>
      <c r="FVR46" s="658"/>
      <c r="FVS46" s="656"/>
      <c r="FVT46" s="658"/>
      <c r="FVW46" s="288"/>
      <c r="FVX46" s="312"/>
      <c r="FVY46" s="482"/>
      <c r="FVZ46" s="312"/>
      <c r="FWA46" s="656"/>
      <c r="FWB46" s="657"/>
      <c r="FWC46" s="656"/>
      <c r="FWD46" s="657"/>
      <c r="FWE46" s="656"/>
      <c r="FWF46" s="658"/>
      <c r="FWG46" s="656"/>
      <c r="FWH46" s="658"/>
      <c r="FWK46" s="288"/>
      <c r="FWL46" s="312"/>
      <c r="FWM46" s="482"/>
      <c r="FWN46" s="312"/>
      <c r="FWO46" s="656"/>
      <c r="FWP46" s="657"/>
      <c r="FWQ46" s="656"/>
      <c r="FWR46" s="657"/>
      <c r="FWS46" s="656"/>
      <c r="FWT46" s="658"/>
      <c r="FWU46" s="656"/>
      <c r="FWV46" s="658"/>
      <c r="FWY46" s="288"/>
      <c r="FWZ46" s="312"/>
      <c r="FXA46" s="482"/>
      <c r="FXB46" s="312"/>
      <c r="FXC46" s="656"/>
      <c r="FXD46" s="657"/>
      <c r="FXE46" s="656"/>
      <c r="FXF46" s="657"/>
      <c r="FXG46" s="656"/>
      <c r="FXH46" s="658"/>
      <c r="FXI46" s="656"/>
      <c r="FXJ46" s="658"/>
      <c r="FXM46" s="288"/>
      <c r="FXN46" s="312"/>
      <c r="FXO46" s="482"/>
      <c r="FXP46" s="312"/>
      <c r="FXQ46" s="656"/>
      <c r="FXR46" s="657"/>
      <c r="FXS46" s="656"/>
      <c r="FXT46" s="657"/>
      <c r="FXU46" s="656"/>
      <c r="FXV46" s="658"/>
      <c r="FXW46" s="656"/>
      <c r="FXX46" s="658"/>
      <c r="FYA46" s="288"/>
      <c r="FYB46" s="312"/>
      <c r="FYC46" s="482"/>
      <c r="FYD46" s="312"/>
      <c r="FYE46" s="656"/>
      <c r="FYF46" s="657"/>
      <c r="FYG46" s="656"/>
      <c r="FYH46" s="657"/>
      <c r="FYI46" s="656"/>
      <c r="FYJ46" s="658"/>
      <c r="FYK46" s="656"/>
      <c r="FYL46" s="658"/>
      <c r="FYO46" s="288"/>
      <c r="FYP46" s="312"/>
      <c r="FYQ46" s="482"/>
      <c r="FYR46" s="312"/>
      <c r="FYS46" s="656"/>
      <c r="FYT46" s="657"/>
      <c r="FYU46" s="656"/>
      <c r="FYV46" s="657"/>
      <c r="FYW46" s="656"/>
      <c r="FYX46" s="658"/>
      <c r="FYY46" s="656"/>
      <c r="FYZ46" s="658"/>
      <c r="FZC46" s="288"/>
      <c r="FZD46" s="312"/>
      <c r="FZE46" s="482"/>
      <c r="FZF46" s="312"/>
      <c r="FZG46" s="656"/>
      <c r="FZH46" s="657"/>
      <c r="FZI46" s="656"/>
      <c r="FZJ46" s="657"/>
      <c r="FZK46" s="656"/>
      <c r="FZL46" s="658"/>
      <c r="FZM46" s="656"/>
      <c r="FZN46" s="658"/>
      <c r="FZQ46" s="288"/>
      <c r="FZR46" s="312"/>
      <c r="FZS46" s="482"/>
      <c r="FZT46" s="312"/>
      <c r="FZU46" s="656"/>
      <c r="FZV46" s="657"/>
      <c r="FZW46" s="656"/>
      <c r="FZX46" s="657"/>
      <c r="FZY46" s="656"/>
      <c r="FZZ46" s="658"/>
      <c r="GAA46" s="656"/>
      <c r="GAB46" s="658"/>
      <c r="GAE46" s="288"/>
      <c r="GAF46" s="312"/>
      <c r="GAG46" s="482"/>
      <c r="GAH46" s="312"/>
      <c r="GAI46" s="656"/>
      <c r="GAJ46" s="657"/>
      <c r="GAK46" s="656"/>
      <c r="GAL46" s="657"/>
      <c r="GAM46" s="656"/>
      <c r="GAN46" s="658"/>
      <c r="GAO46" s="656"/>
      <c r="GAP46" s="658"/>
      <c r="GAS46" s="288"/>
      <c r="GAT46" s="312"/>
      <c r="GAU46" s="482"/>
      <c r="GAV46" s="312"/>
      <c r="GAW46" s="656"/>
      <c r="GAX46" s="657"/>
      <c r="GAY46" s="656"/>
      <c r="GAZ46" s="657"/>
      <c r="GBA46" s="656"/>
      <c r="GBB46" s="658"/>
      <c r="GBC46" s="656"/>
      <c r="GBD46" s="658"/>
      <c r="GBG46" s="288"/>
      <c r="GBH46" s="312"/>
      <c r="GBI46" s="482"/>
      <c r="GBJ46" s="312"/>
      <c r="GBK46" s="656"/>
      <c r="GBL46" s="657"/>
      <c r="GBM46" s="656"/>
      <c r="GBN46" s="657"/>
      <c r="GBO46" s="656"/>
      <c r="GBP46" s="658"/>
      <c r="GBQ46" s="656"/>
      <c r="GBR46" s="658"/>
      <c r="GBU46" s="288"/>
      <c r="GBV46" s="312"/>
      <c r="GBW46" s="482"/>
      <c r="GBX46" s="312"/>
      <c r="GBY46" s="656"/>
      <c r="GBZ46" s="657"/>
      <c r="GCA46" s="656"/>
      <c r="GCB46" s="657"/>
      <c r="GCC46" s="656"/>
      <c r="GCD46" s="658"/>
      <c r="GCE46" s="656"/>
      <c r="GCF46" s="658"/>
      <c r="GCI46" s="288"/>
      <c r="GCJ46" s="312"/>
      <c r="GCK46" s="482"/>
      <c r="GCL46" s="312"/>
      <c r="GCM46" s="656"/>
      <c r="GCN46" s="657"/>
      <c r="GCO46" s="656"/>
      <c r="GCP46" s="657"/>
      <c r="GCQ46" s="656"/>
      <c r="GCR46" s="658"/>
      <c r="GCS46" s="656"/>
      <c r="GCT46" s="658"/>
      <c r="GCW46" s="288"/>
      <c r="GCX46" s="312"/>
      <c r="GCY46" s="482"/>
      <c r="GCZ46" s="312"/>
      <c r="GDA46" s="656"/>
      <c r="GDB46" s="657"/>
      <c r="GDC46" s="656"/>
      <c r="GDD46" s="657"/>
      <c r="GDE46" s="656"/>
      <c r="GDF46" s="658"/>
      <c r="GDG46" s="656"/>
      <c r="GDH46" s="658"/>
      <c r="GDK46" s="288"/>
      <c r="GDL46" s="312"/>
      <c r="GDM46" s="482"/>
      <c r="GDN46" s="312"/>
      <c r="GDO46" s="656"/>
      <c r="GDP46" s="657"/>
      <c r="GDQ46" s="656"/>
      <c r="GDR46" s="657"/>
      <c r="GDS46" s="656"/>
      <c r="GDT46" s="658"/>
      <c r="GDU46" s="656"/>
      <c r="GDV46" s="658"/>
      <c r="GDY46" s="288"/>
      <c r="GDZ46" s="312"/>
      <c r="GEA46" s="482"/>
      <c r="GEB46" s="312"/>
      <c r="GEC46" s="656"/>
      <c r="GED46" s="657"/>
      <c r="GEE46" s="656"/>
      <c r="GEF46" s="657"/>
      <c r="GEG46" s="656"/>
      <c r="GEH46" s="658"/>
      <c r="GEI46" s="656"/>
      <c r="GEJ46" s="658"/>
      <c r="GEM46" s="288"/>
      <c r="GEN46" s="312"/>
      <c r="GEO46" s="482"/>
      <c r="GEP46" s="312"/>
      <c r="GEQ46" s="656"/>
      <c r="GER46" s="657"/>
      <c r="GES46" s="656"/>
      <c r="GET46" s="657"/>
      <c r="GEU46" s="656"/>
      <c r="GEV46" s="658"/>
      <c r="GEW46" s="656"/>
      <c r="GEX46" s="658"/>
      <c r="GFA46" s="288"/>
      <c r="GFB46" s="312"/>
      <c r="GFC46" s="482"/>
      <c r="GFD46" s="312"/>
      <c r="GFE46" s="656"/>
      <c r="GFF46" s="657"/>
      <c r="GFG46" s="656"/>
      <c r="GFH46" s="657"/>
      <c r="GFI46" s="656"/>
      <c r="GFJ46" s="658"/>
      <c r="GFK46" s="656"/>
      <c r="GFL46" s="658"/>
      <c r="GFO46" s="288"/>
      <c r="GFP46" s="312"/>
      <c r="GFQ46" s="482"/>
      <c r="GFR46" s="312"/>
      <c r="GFS46" s="656"/>
      <c r="GFT46" s="657"/>
      <c r="GFU46" s="656"/>
      <c r="GFV46" s="657"/>
      <c r="GFW46" s="656"/>
      <c r="GFX46" s="658"/>
      <c r="GFY46" s="656"/>
      <c r="GFZ46" s="658"/>
      <c r="GGC46" s="288"/>
      <c r="GGD46" s="312"/>
      <c r="GGE46" s="482"/>
      <c r="GGF46" s="312"/>
      <c r="GGG46" s="656"/>
      <c r="GGH46" s="657"/>
      <c r="GGI46" s="656"/>
      <c r="GGJ46" s="657"/>
      <c r="GGK46" s="656"/>
      <c r="GGL46" s="658"/>
      <c r="GGM46" s="656"/>
      <c r="GGN46" s="658"/>
      <c r="GGQ46" s="288"/>
      <c r="GGR46" s="312"/>
      <c r="GGS46" s="482"/>
      <c r="GGT46" s="312"/>
      <c r="GGU46" s="656"/>
      <c r="GGV46" s="657"/>
      <c r="GGW46" s="656"/>
      <c r="GGX46" s="657"/>
      <c r="GGY46" s="656"/>
      <c r="GGZ46" s="658"/>
      <c r="GHA46" s="656"/>
      <c r="GHB46" s="658"/>
      <c r="GHE46" s="288"/>
      <c r="GHF46" s="312"/>
      <c r="GHG46" s="482"/>
      <c r="GHH46" s="312"/>
      <c r="GHI46" s="656"/>
      <c r="GHJ46" s="657"/>
      <c r="GHK46" s="656"/>
      <c r="GHL46" s="657"/>
      <c r="GHM46" s="656"/>
      <c r="GHN46" s="658"/>
      <c r="GHO46" s="656"/>
      <c r="GHP46" s="658"/>
      <c r="GHS46" s="288"/>
      <c r="GHT46" s="312"/>
      <c r="GHU46" s="482"/>
      <c r="GHV46" s="312"/>
      <c r="GHW46" s="656"/>
      <c r="GHX46" s="657"/>
      <c r="GHY46" s="656"/>
      <c r="GHZ46" s="657"/>
      <c r="GIA46" s="656"/>
      <c r="GIB46" s="658"/>
      <c r="GIC46" s="656"/>
      <c r="GID46" s="658"/>
      <c r="GIG46" s="288"/>
      <c r="GIH46" s="312"/>
      <c r="GII46" s="482"/>
      <c r="GIJ46" s="312"/>
      <c r="GIK46" s="656"/>
      <c r="GIL46" s="657"/>
      <c r="GIM46" s="656"/>
      <c r="GIN46" s="657"/>
      <c r="GIO46" s="656"/>
      <c r="GIP46" s="658"/>
      <c r="GIQ46" s="656"/>
      <c r="GIR46" s="658"/>
      <c r="GIU46" s="288"/>
      <c r="GIV46" s="312"/>
      <c r="GIW46" s="482"/>
      <c r="GIX46" s="312"/>
      <c r="GIY46" s="656"/>
      <c r="GIZ46" s="657"/>
      <c r="GJA46" s="656"/>
      <c r="GJB46" s="657"/>
      <c r="GJC46" s="656"/>
      <c r="GJD46" s="658"/>
      <c r="GJE46" s="656"/>
      <c r="GJF46" s="658"/>
      <c r="GJI46" s="288"/>
      <c r="GJJ46" s="312"/>
      <c r="GJK46" s="482"/>
      <c r="GJL46" s="312"/>
      <c r="GJM46" s="656"/>
      <c r="GJN46" s="657"/>
      <c r="GJO46" s="656"/>
      <c r="GJP46" s="657"/>
      <c r="GJQ46" s="656"/>
      <c r="GJR46" s="658"/>
      <c r="GJS46" s="656"/>
      <c r="GJT46" s="658"/>
      <c r="GJW46" s="288"/>
      <c r="GJX46" s="312"/>
      <c r="GJY46" s="482"/>
      <c r="GJZ46" s="312"/>
      <c r="GKA46" s="656"/>
      <c r="GKB46" s="657"/>
      <c r="GKC46" s="656"/>
      <c r="GKD46" s="657"/>
      <c r="GKE46" s="656"/>
      <c r="GKF46" s="658"/>
      <c r="GKG46" s="656"/>
      <c r="GKH46" s="658"/>
      <c r="GKK46" s="288"/>
      <c r="GKL46" s="312"/>
      <c r="GKM46" s="482"/>
      <c r="GKN46" s="312"/>
      <c r="GKO46" s="656"/>
      <c r="GKP46" s="657"/>
      <c r="GKQ46" s="656"/>
      <c r="GKR46" s="657"/>
      <c r="GKS46" s="656"/>
      <c r="GKT46" s="658"/>
      <c r="GKU46" s="656"/>
      <c r="GKV46" s="658"/>
      <c r="GKY46" s="288"/>
      <c r="GKZ46" s="312"/>
      <c r="GLA46" s="482"/>
      <c r="GLB46" s="312"/>
      <c r="GLC46" s="656"/>
      <c r="GLD46" s="657"/>
      <c r="GLE46" s="656"/>
      <c r="GLF46" s="657"/>
      <c r="GLG46" s="656"/>
      <c r="GLH46" s="658"/>
      <c r="GLI46" s="656"/>
      <c r="GLJ46" s="658"/>
      <c r="GLM46" s="288"/>
      <c r="GLN46" s="312"/>
      <c r="GLO46" s="482"/>
      <c r="GLP46" s="312"/>
      <c r="GLQ46" s="656"/>
      <c r="GLR46" s="657"/>
      <c r="GLS46" s="656"/>
      <c r="GLT46" s="657"/>
      <c r="GLU46" s="656"/>
      <c r="GLV46" s="658"/>
      <c r="GLW46" s="656"/>
      <c r="GLX46" s="658"/>
      <c r="GMA46" s="288"/>
      <c r="GMB46" s="312"/>
      <c r="GMC46" s="482"/>
      <c r="GMD46" s="312"/>
      <c r="GME46" s="656"/>
      <c r="GMF46" s="657"/>
      <c r="GMG46" s="656"/>
      <c r="GMH46" s="657"/>
      <c r="GMI46" s="656"/>
      <c r="GMJ46" s="658"/>
      <c r="GMK46" s="656"/>
      <c r="GML46" s="658"/>
      <c r="GMO46" s="288"/>
      <c r="GMP46" s="312"/>
      <c r="GMQ46" s="482"/>
      <c r="GMR46" s="312"/>
      <c r="GMS46" s="656"/>
      <c r="GMT46" s="657"/>
      <c r="GMU46" s="656"/>
      <c r="GMV46" s="657"/>
      <c r="GMW46" s="656"/>
      <c r="GMX46" s="658"/>
      <c r="GMY46" s="656"/>
      <c r="GMZ46" s="658"/>
      <c r="GNC46" s="288"/>
      <c r="GND46" s="312"/>
      <c r="GNE46" s="482"/>
      <c r="GNF46" s="312"/>
      <c r="GNG46" s="656"/>
      <c r="GNH46" s="657"/>
      <c r="GNI46" s="656"/>
      <c r="GNJ46" s="657"/>
      <c r="GNK46" s="656"/>
      <c r="GNL46" s="658"/>
      <c r="GNM46" s="656"/>
      <c r="GNN46" s="658"/>
      <c r="GNQ46" s="288"/>
      <c r="GNR46" s="312"/>
      <c r="GNS46" s="482"/>
      <c r="GNT46" s="312"/>
      <c r="GNU46" s="656"/>
      <c r="GNV46" s="657"/>
      <c r="GNW46" s="656"/>
      <c r="GNX46" s="657"/>
      <c r="GNY46" s="656"/>
      <c r="GNZ46" s="658"/>
      <c r="GOA46" s="656"/>
      <c r="GOB46" s="658"/>
      <c r="GOE46" s="288"/>
      <c r="GOF46" s="312"/>
      <c r="GOG46" s="482"/>
      <c r="GOH46" s="312"/>
      <c r="GOI46" s="656"/>
      <c r="GOJ46" s="657"/>
      <c r="GOK46" s="656"/>
      <c r="GOL46" s="657"/>
      <c r="GOM46" s="656"/>
      <c r="GON46" s="658"/>
      <c r="GOO46" s="656"/>
      <c r="GOP46" s="658"/>
      <c r="GOS46" s="288"/>
      <c r="GOT46" s="312"/>
      <c r="GOU46" s="482"/>
      <c r="GOV46" s="312"/>
      <c r="GOW46" s="656"/>
      <c r="GOX46" s="657"/>
      <c r="GOY46" s="656"/>
      <c r="GOZ46" s="657"/>
      <c r="GPA46" s="656"/>
      <c r="GPB46" s="658"/>
      <c r="GPC46" s="656"/>
      <c r="GPD46" s="658"/>
      <c r="GPG46" s="288"/>
      <c r="GPH46" s="312"/>
      <c r="GPI46" s="482"/>
      <c r="GPJ46" s="312"/>
      <c r="GPK46" s="656"/>
      <c r="GPL46" s="657"/>
      <c r="GPM46" s="656"/>
      <c r="GPN46" s="657"/>
      <c r="GPO46" s="656"/>
      <c r="GPP46" s="658"/>
      <c r="GPQ46" s="656"/>
      <c r="GPR46" s="658"/>
      <c r="GPU46" s="288"/>
      <c r="GPV46" s="312"/>
      <c r="GPW46" s="482"/>
      <c r="GPX46" s="312"/>
      <c r="GPY46" s="656"/>
      <c r="GPZ46" s="657"/>
      <c r="GQA46" s="656"/>
      <c r="GQB46" s="657"/>
      <c r="GQC46" s="656"/>
      <c r="GQD46" s="658"/>
      <c r="GQE46" s="656"/>
      <c r="GQF46" s="658"/>
      <c r="GQI46" s="288"/>
      <c r="GQJ46" s="312"/>
      <c r="GQK46" s="482"/>
      <c r="GQL46" s="312"/>
      <c r="GQM46" s="656"/>
      <c r="GQN46" s="657"/>
      <c r="GQO46" s="656"/>
      <c r="GQP46" s="657"/>
      <c r="GQQ46" s="656"/>
      <c r="GQR46" s="658"/>
      <c r="GQS46" s="656"/>
      <c r="GQT46" s="658"/>
      <c r="GQW46" s="288"/>
      <c r="GQX46" s="312"/>
      <c r="GQY46" s="482"/>
      <c r="GQZ46" s="312"/>
      <c r="GRA46" s="656"/>
      <c r="GRB46" s="657"/>
      <c r="GRC46" s="656"/>
      <c r="GRD46" s="657"/>
      <c r="GRE46" s="656"/>
      <c r="GRF46" s="658"/>
      <c r="GRG46" s="656"/>
      <c r="GRH46" s="658"/>
      <c r="GRK46" s="288"/>
      <c r="GRL46" s="312"/>
      <c r="GRM46" s="482"/>
      <c r="GRN46" s="312"/>
      <c r="GRO46" s="656"/>
      <c r="GRP46" s="657"/>
      <c r="GRQ46" s="656"/>
      <c r="GRR46" s="657"/>
      <c r="GRS46" s="656"/>
      <c r="GRT46" s="658"/>
      <c r="GRU46" s="656"/>
      <c r="GRV46" s="658"/>
      <c r="GRY46" s="288"/>
      <c r="GRZ46" s="312"/>
      <c r="GSA46" s="482"/>
      <c r="GSB46" s="312"/>
      <c r="GSC46" s="656"/>
      <c r="GSD46" s="657"/>
      <c r="GSE46" s="656"/>
      <c r="GSF46" s="657"/>
      <c r="GSG46" s="656"/>
      <c r="GSH46" s="658"/>
      <c r="GSI46" s="656"/>
      <c r="GSJ46" s="658"/>
      <c r="GSM46" s="288"/>
      <c r="GSN46" s="312"/>
      <c r="GSO46" s="482"/>
      <c r="GSP46" s="312"/>
      <c r="GSQ46" s="656"/>
      <c r="GSR46" s="657"/>
      <c r="GSS46" s="656"/>
      <c r="GST46" s="657"/>
      <c r="GSU46" s="656"/>
      <c r="GSV46" s="658"/>
      <c r="GSW46" s="656"/>
      <c r="GSX46" s="658"/>
      <c r="GTA46" s="288"/>
      <c r="GTB46" s="312"/>
      <c r="GTC46" s="482"/>
      <c r="GTD46" s="312"/>
      <c r="GTE46" s="656"/>
      <c r="GTF46" s="657"/>
      <c r="GTG46" s="656"/>
      <c r="GTH46" s="657"/>
      <c r="GTI46" s="656"/>
      <c r="GTJ46" s="658"/>
      <c r="GTK46" s="656"/>
      <c r="GTL46" s="658"/>
      <c r="GTO46" s="288"/>
      <c r="GTP46" s="312"/>
      <c r="GTQ46" s="482"/>
      <c r="GTR46" s="312"/>
      <c r="GTS46" s="656"/>
      <c r="GTT46" s="657"/>
      <c r="GTU46" s="656"/>
      <c r="GTV46" s="657"/>
      <c r="GTW46" s="656"/>
      <c r="GTX46" s="658"/>
      <c r="GTY46" s="656"/>
      <c r="GTZ46" s="658"/>
      <c r="GUC46" s="288"/>
      <c r="GUD46" s="312"/>
      <c r="GUE46" s="482"/>
      <c r="GUF46" s="312"/>
      <c r="GUG46" s="656"/>
      <c r="GUH46" s="657"/>
      <c r="GUI46" s="656"/>
      <c r="GUJ46" s="657"/>
      <c r="GUK46" s="656"/>
      <c r="GUL46" s="658"/>
      <c r="GUM46" s="656"/>
      <c r="GUN46" s="658"/>
      <c r="GUQ46" s="288"/>
      <c r="GUR46" s="312"/>
      <c r="GUS46" s="482"/>
      <c r="GUT46" s="312"/>
      <c r="GUU46" s="656"/>
      <c r="GUV46" s="657"/>
      <c r="GUW46" s="656"/>
      <c r="GUX46" s="657"/>
      <c r="GUY46" s="656"/>
      <c r="GUZ46" s="658"/>
      <c r="GVA46" s="656"/>
      <c r="GVB46" s="658"/>
      <c r="GVE46" s="288"/>
      <c r="GVF46" s="312"/>
      <c r="GVG46" s="482"/>
      <c r="GVH46" s="312"/>
      <c r="GVI46" s="656"/>
      <c r="GVJ46" s="657"/>
      <c r="GVK46" s="656"/>
      <c r="GVL46" s="657"/>
      <c r="GVM46" s="656"/>
      <c r="GVN46" s="658"/>
      <c r="GVO46" s="656"/>
      <c r="GVP46" s="658"/>
      <c r="GVS46" s="288"/>
      <c r="GVT46" s="312"/>
      <c r="GVU46" s="482"/>
      <c r="GVV46" s="312"/>
      <c r="GVW46" s="656"/>
      <c r="GVX46" s="657"/>
      <c r="GVY46" s="656"/>
      <c r="GVZ46" s="657"/>
      <c r="GWA46" s="656"/>
      <c r="GWB46" s="658"/>
      <c r="GWC46" s="656"/>
      <c r="GWD46" s="658"/>
      <c r="GWG46" s="288"/>
      <c r="GWH46" s="312"/>
      <c r="GWI46" s="482"/>
      <c r="GWJ46" s="312"/>
      <c r="GWK46" s="656"/>
      <c r="GWL46" s="657"/>
      <c r="GWM46" s="656"/>
      <c r="GWN46" s="657"/>
      <c r="GWO46" s="656"/>
      <c r="GWP46" s="658"/>
      <c r="GWQ46" s="656"/>
      <c r="GWR46" s="658"/>
      <c r="GWU46" s="288"/>
      <c r="GWV46" s="312"/>
      <c r="GWW46" s="482"/>
      <c r="GWX46" s="312"/>
      <c r="GWY46" s="656"/>
      <c r="GWZ46" s="657"/>
      <c r="GXA46" s="656"/>
      <c r="GXB46" s="657"/>
      <c r="GXC46" s="656"/>
      <c r="GXD46" s="658"/>
      <c r="GXE46" s="656"/>
      <c r="GXF46" s="658"/>
      <c r="GXI46" s="288"/>
      <c r="GXJ46" s="312"/>
      <c r="GXK46" s="482"/>
      <c r="GXL46" s="312"/>
      <c r="GXM46" s="656"/>
      <c r="GXN46" s="657"/>
      <c r="GXO46" s="656"/>
      <c r="GXP46" s="657"/>
      <c r="GXQ46" s="656"/>
      <c r="GXR46" s="658"/>
      <c r="GXS46" s="656"/>
      <c r="GXT46" s="658"/>
      <c r="GXW46" s="288"/>
      <c r="GXX46" s="312"/>
      <c r="GXY46" s="482"/>
      <c r="GXZ46" s="312"/>
      <c r="GYA46" s="656"/>
      <c r="GYB46" s="657"/>
      <c r="GYC46" s="656"/>
      <c r="GYD46" s="657"/>
      <c r="GYE46" s="656"/>
      <c r="GYF46" s="658"/>
      <c r="GYG46" s="656"/>
      <c r="GYH46" s="658"/>
      <c r="GYK46" s="288"/>
      <c r="GYL46" s="312"/>
      <c r="GYM46" s="482"/>
      <c r="GYN46" s="312"/>
      <c r="GYO46" s="656"/>
      <c r="GYP46" s="657"/>
      <c r="GYQ46" s="656"/>
      <c r="GYR46" s="657"/>
      <c r="GYS46" s="656"/>
      <c r="GYT46" s="658"/>
      <c r="GYU46" s="656"/>
      <c r="GYV46" s="658"/>
      <c r="GYY46" s="288"/>
      <c r="GYZ46" s="312"/>
      <c r="GZA46" s="482"/>
      <c r="GZB46" s="312"/>
      <c r="GZC46" s="656"/>
      <c r="GZD46" s="657"/>
      <c r="GZE46" s="656"/>
      <c r="GZF46" s="657"/>
      <c r="GZG46" s="656"/>
      <c r="GZH46" s="658"/>
      <c r="GZI46" s="656"/>
      <c r="GZJ46" s="658"/>
      <c r="GZM46" s="288"/>
      <c r="GZN46" s="312"/>
      <c r="GZO46" s="482"/>
      <c r="GZP46" s="312"/>
      <c r="GZQ46" s="656"/>
      <c r="GZR46" s="657"/>
      <c r="GZS46" s="656"/>
      <c r="GZT46" s="657"/>
      <c r="GZU46" s="656"/>
      <c r="GZV46" s="658"/>
      <c r="GZW46" s="656"/>
      <c r="GZX46" s="658"/>
      <c r="HAA46" s="288"/>
      <c r="HAB46" s="312"/>
      <c r="HAC46" s="482"/>
      <c r="HAD46" s="312"/>
      <c r="HAE46" s="656"/>
      <c r="HAF46" s="657"/>
      <c r="HAG46" s="656"/>
      <c r="HAH46" s="657"/>
      <c r="HAI46" s="656"/>
      <c r="HAJ46" s="658"/>
      <c r="HAK46" s="656"/>
      <c r="HAL46" s="658"/>
      <c r="HAO46" s="288"/>
      <c r="HAP46" s="312"/>
      <c r="HAQ46" s="482"/>
      <c r="HAR46" s="312"/>
      <c r="HAS46" s="656"/>
      <c r="HAT46" s="657"/>
      <c r="HAU46" s="656"/>
      <c r="HAV46" s="657"/>
      <c r="HAW46" s="656"/>
      <c r="HAX46" s="658"/>
      <c r="HAY46" s="656"/>
      <c r="HAZ46" s="658"/>
      <c r="HBC46" s="288"/>
      <c r="HBD46" s="312"/>
      <c r="HBE46" s="482"/>
      <c r="HBF46" s="312"/>
      <c r="HBG46" s="656"/>
      <c r="HBH46" s="657"/>
      <c r="HBI46" s="656"/>
      <c r="HBJ46" s="657"/>
      <c r="HBK46" s="656"/>
      <c r="HBL46" s="658"/>
      <c r="HBM46" s="656"/>
      <c r="HBN46" s="658"/>
      <c r="HBQ46" s="288"/>
      <c r="HBR46" s="312"/>
      <c r="HBS46" s="482"/>
      <c r="HBT46" s="312"/>
      <c r="HBU46" s="656"/>
      <c r="HBV46" s="657"/>
      <c r="HBW46" s="656"/>
      <c r="HBX46" s="657"/>
      <c r="HBY46" s="656"/>
      <c r="HBZ46" s="658"/>
      <c r="HCA46" s="656"/>
      <c r="HCB46" s="658"/>
      <c r="HCE46" s="288"/>
      <c r="HCF46" s="312"/>
      <c r="HCG46" s="482"/>
      <c r="HCH46" s="312"/>
      <c r="HCI46" s="656"/>
      <c r="HCJ46" s="657"/>
      <c r="HCK46" s="656"/>
      <c r="HCL46" s="657"/>
      <c r="HCM46" s="656"/>
      <c r="HCN46" s="658"/>
      <c r="HCO46" s="656"/>
      <c r="HCP46" s="658"/>
      <c r="HCS46" s="288"/>
      <c r="HCT46" s="312"/>
      <c r="HCU46" s="482"/>
      <c r="HCV46" s="312"/>
      <c r="HCW46" s="656"/>
      <c r="HCX46" s="657"/>
      <c r="HCY46" s="656"/>
      <c r="HCZ46" s="657"/>
      <c r="HDA46" s="656"/>
      <c r="HDB46" s="658"/>
      <c r="HDC46" s="656"/>
      <c r="HDD46" s="658"/>
      <c r="HDG46" s="288"/>
      <c r="HDH46" s="312"/>
      <c r="HDI46" s="482"/>
      <c r="HDJ46" s="312"/>
      <c r="HDK46" s="656"/>
      <c r="HDL46" s="657"/>
      <c r="HDM46" s="656"/>
      <c r="HDN46" s="657"/>
      <c r="HDO46" s="656"/>
      <c r="HDP46" s="658"/>
      <c r="HDQ46" s="656"/>
      <c r="HDR46" s="658"/>
      <c r="HDU46" s="288"/>
      <c r="HDV46" s="312"/>
      <c r="HDW46" s="482"/>
      <c r="HDX46" s="312"/>
      <c r="HDY46" s="656"/>
      <c r="HDZ46" s="657"/>
      <c r="HEA46" s="656"/>
      <c r="HEB46" s="657"/>
      <c r="HEC46" s="656"/>
      <c r="HED46" s="658"/>
      <c r="HEE46" s="656"/>
      <c r="HEF46" s="658"/>
      <c r="HEI46" s="288"/>
      <c r="HEJ46" s="312"/>
      <c r="HEK46" s="482"/>
      <c r="HEL46" s="312"/>
      <c r="HEM46" s="656"/>
      <c r="HEN46" s="657"/>
      <c r="HEO46" s="656"/>
      <c r="HEP46" s="657"/>
      <c r="HEQ46" s="656"/>
      <c r="HER46" s="658"/>
      <c r="HES46" s="656"/>
      <c r="HET46" s="658"/>
      <c r="HEW46" s="288"/>
      <c r="HEX46" s="312"/>
      <c r="HEY46" s="482"/>
      <c r="HEZ46" s="312"/>
      <c r="HFA46" s="656"/>
      <c r="HFB46" s="657"/>
      <c r="HFC46" s="656"/>
      <c r="HFD46" s="657"/>
      <c r="HFE46" s="656"/>
      <c r="HFF46" s="658"/>
      <c r="HFG46" s="656"/>
      <c r="HFH46" s="658"/>
      <c r="HFK46" s="288"/>
      <c r="HFL46" s="312"/>
      <c r="HFM46" s="482"/>
      <c r="HFN46" s="312"/>
      <c r="HFO46" s="656"/>
      <c r="HFP46" s="657"/>
      <c r="HFQ46" s="656"/>
      <c r="HFR46" s="657"/>
      <c r="HFS46" s="656"/>
      <c r="HFT46" s="658"/>
      <c r="HFU46" s="656"/>
      <c r="HFV46" s="658"/>
      <c r="HFY46" s="288"/>
      <c r="HFZ46" s="312"/>
      <c r="HGA46" s="482"/>
      <c r="HGB46" s="312"/>
      <c r="HGC46" s="656"/>
      <c r="HGD46" s="657"/>
      <c r="HGE46" s="656"/>
      <c r="HGF46" s="657"/>
      <c r="HGG46" s="656"/>
      <c r="HGH46" s="658"/>
      <c r="HGI46" s="656"/>
      <c r="HGJ46" s="658"/>
      <c r="HGM46" s="288"/>
      <c r="HGN46" s="312"/>
      <c r="HGO46" s="482"/>
      <c r="HGP46" s="312"/>
      <c r="HGQ46" s="656"/>
      <c r="HGR46" s="657"/>
      <c r="HGS46" s="656"/>
      <c r="HGT46" s="657"/>
      <c r="HGU46" s="656"/>
      <c r="HGV46" s="658"/>
      <c r="HGW46" s="656"/>
      <c r="HGX46" s="658"/>
      <c r="HHA46" s="288"/>
      <c r="HHB46" s="312"/>
      <c r="HHC46" s="482"/>
      <c r="HHD46" s="312"/>
      <c r="HHE46" s="656"/>
      <c r="HHF46" s="657"/>
      <c r="HHG46" s="656"/>
      <c r="HHH46" s="657"/>
      <c r="HHI46" s="656"/>
      <c r="HHJ46" s="658"/>
      <c r="HHK46" s="656"/>
      <c r="HHL46" s="658"/>
      <c r="HHO46" s="288"/>
      <c r="HHP46" s="312"/>
      <c r="HHQ46" s="482"/>
      <c r="HHR46" s="312"/>
      <c r="HHS46" s="656"/>
      <c r="HHT46" s="657"/>
      <c r="HHU46" s="656"/>
      <c r="HHV46" s="657"/>
      <c r="HHW46" s="656"/>
      <c r="HHX46" s="658"/>
      <c r="HHY46" s="656"/>
      <c r="HHZ46" s="658"/>
      <c r="HIC46" s="288"/>
      <c r="HID46" s="312"/>
      <c r="HIE46" s="482"/>
      <c r="HIF46" s="312"/>
      <c r="HIG46" s="656"/>
      <c r="HIH46" s="657"/>
      <c r="HII46" s="656"/>
      <c r="HIJ46" s="657"/>
      <c r="HIK46" s="656"/>
      <c r="HIL46" s="658"/>
      <c r="HIM46" s="656"/>
      <c r="HIN46" s="658"/>
      <c r="HIQ46" s="288"/>
      <c r="HIR46" s="312"/>
      <c r="HIS46" s="482"/>
      <c r="HIT46" s="312"/>
      <c r="HIU46" s="656"/>
      <c r="HIV46" s="657"/>
      <c r="HIW46" s="656"/>
      <c r="HIX46" s="657"/>
      <c r="HIY46" s="656"/>
      <c r="HIZ46" s="658"/>
      <c r="HJA46" s="656"/>
      <c r="HJB46" s="658"/>
      <c r="HJE46" s="288"/>
      <c r="HJF46" s="312"/>
      <c r="HJG46" s="482"/>
      <c r="HJH46" s="312"/>
      <c r="HJI46" s="656"/>
      <c r="HJJ46" s="657"/>
      <c r="HJK46" s="656"/>
      <c r="HJL46" s="657"/>
      <c r="HJM46" s="656"/>
      <c r="HJN46" s="658"/>
      <c r="HJO46" s="656"/>
      <c r="HJP46" s="658"/>
      <c r="HJS46" s="288"/>
      <c r="HJT46" s="312"/>
      <c r="HJU46" s="482"/>
      <c r="HJV46" s="312"/>
      <c r="HJW46" s="656"/>
      <c r="HJX46" s="657"/>
      <c r="HJY46" s="656"/>
      <c r="HJZ46" s="657"/>
      <c r="HKA46" s="656"/>
      <c r="HKB46" s="658"/>
      <c r="HKC46" s="656"/>
      <c r="HKD46" s="658"/>
      <c r="HKG46" s="288"/>
      <c r="HKH46" s="312"/>
      <c r="HKI46" s="482"/>
      <c r="HKJ46" s="312"/>
      <c r="HKK46" s="656"/>
      <c r="HKL46" s="657"/>
      <c r="HKM46" s="656"/>
      <c r="HKN46" s="657"/>
      <c r="HKO46" s="656"/>
      <c r="HKP46" s="658"/>
      <c r="HKQ46" s="656"/>
      <c r="HKR46" s="658"/>
      <c r="HKU46" s="288"/>
      <c r="HKV46" s="312"/>
      <c r="HKW46" s="482"/>
      <c r="HKX46" s="312"/>
      <c r="HKY46" s="656"/>
      <c r="HKZ46" s="657"/>
      <c r="HLA46" s="656"/>
      <c r="HLB46" s="657"/>
      <c r="HLC46" s="656"/>
      <c r="HLD46" s="658"/>
      <c r="HLE46" s="656"/>
      <c r="HLF46" s="658"/>
      <c r="HLI46" s="288"/>
      <c r="HLJ46" s="312"/>
      <c r="HLK46" s="482"/>
      <c r="HLL46" s="312"/>
      <c r="HLM46" s="656"/>
      <c r="HLN46" s="657"/>
      <c r="HLO46" s="656"/>
      <c r="HLP46" s="657"/>
      <c r="HLQ46" s="656"/>
      <c r="HLR46" s="658"/>
      <c r="HLS46" s="656"/>
      <c r="HLT46" s="658"/>
      <c r="HLW46" s="288"/>
      <c r="HLX46" s="312"/>
      <c r="HLY46" s="482"/>
      <c r="HLZ46" s="312"/>
      <c r="HMA46" s="656"/>
      <c r="HMB46" s="657"/>
      <c r="HMC46" s="656"/>
      <c r="HMD46" s="657"/>
      <c r="HME46" s="656"/>
      <c r="HMF46" s="658"/>
      <c r="HMG46" s="656"/>
      <c r="HMH46" s="658"/>
      <c r="HMK46" s="288"/>
      <c r="HML46" s="312"/>
      <c r="HMM46" s="482"/>
      <c r="HMN46" s="312"/>
      <c r="HMO46" s="656"/>
      <c r="HMP46" s="657"/>
      <c r="HMQ46" s="656"/>
      <c r="HMR46" s="657"/>
      <c r="HMS46" s="656"/>
      <c r="HMT46" s="658"/>
      <c r="HMU46" s="656"/>
      <c r="HMV46" s="658"/>
      <c r="HMY46" s="288"/>
      <c r="HMZ46" s="312"/>
      <c r="HNA46" s="482"/>
      <c r="HNB46" s="312"/>
      <c r="HNC46" s="656"/>
      <c r="HND46" s="657"/>
      <c r="HNE46" s="656"/>
      <c r="HNF46" s="657"/>
      <c r="HNG46" s="656"/>
      <c r="HNH46" s="658"/>
      <c r="HNI46" s="656"/>
      <c r="HNJ46" s="658"/>
      <c r="HNM46" s="288"/>
      <c r="HNN46" s="312"/>
      <c r="HNO46" s="482"/>
      <c r="HNP46" s="312"/>
      <c r="HNQ46" s="656"/>
      <c r="HNR46" s="657"/>
      <c r="HNS46" s="656"/>
      <c r="HNT46" s="657"/>
      <c r="HNU46" s="656"/>
      <c r="HNV46" s="658"/>
      <c r="HNW46" s="656"/>
      <c r="HNX46" s="658"/>
      <c r="HOA46" s="288"/>
      <c r="HOB46" s="312"/>
      <c r="HOC46" s="482"/>
      <c r="HOD46" s="312"/>
      <c r="HOE46" s="656"/>
      <c r="HOF46" s="657"/>
      <c r="HOG46" s="656"/>
      <c r="HOH46" s="657"/>
      <c r="HOI46" s="656"/>
      <c r="HOJ46" s="658"/>
      <c r="HOK46" s="656"/>
      <c r="HOL46" s="658"/>
      <c r="HOO46" s="288"/>
      <c r="HOP46" s="312"/>
      <c r="HOQ46" s="482"/>
      <c r="HOR46" s="312"/>
      <c r="HOS46" s="656"/>
      <c r="HOT46" s="657"/>
      <c r="HOU46" s="656"/>
      <c r="HOV46" s="657"/>
      <c r="HOW46" s="656"/>
      <c r="HOX46" s="658"/>
      <c r="HOY46" s="656"/>
      <c r="HOZ46" s="658"/>
      <c r="HPC46" s="288"/>
      <c r="HPD46" s="312"/>
      <c r="HPE46" s="482"/>
      <c r="HPF46" s="312"/>
      <c r="HPG46" s="656"/>
      <c r="HPH46" s="657"/>
      <c r="HPI46" s="656"/>
      <c r="HPJ46" s="657"/>
      <c r="HPK46" s="656"/>
      <c r="HPL46" s="658"/>
      <c r="HPM46" s="656"/>
      <c r="HPN46" s="658"/>
      <c r="HPQ46" s="288"/>
      <c r="HPR46" s="312"/>
      <c r="HPS46" s="482"/>
      <c r="HPT46" s="312"/>
      <c r="HPU46" s="656"/>
      <c r="HPV46" s="657"/>
      <c r="HPW46" s="656"/>
      <c r="HPX46" s="657"/>
      <c r="HPY46" s="656"/>
      <c r="HPZ46" s="658"/>
      <c r="HQA46" s="656"/>
      <c r="HQB46" s="658"/>
      <c r="HQE46" s="288"/>
      <c r="HQF46" s="312"/>
      <c r="HQG46" s="482"/>
      <c r="HQH46" s="312"/>
      <c r="HQI46" s="656"/>
      <c r="HQJ46" s="657"/>
      <c r="HQK46" s="656"/>
      <c r="HQL46" s="657"/>
      <c r="HQM46" s="656"/>
      <c r="HQN46" s="658"/>
      <c r="HQO46" s="656"/>
      <c r="HQP46" s="658"/>
      <c r="HQS46" s="288"/>
      <c r="HQT46" s="312"/>
      <c r="HQU46" s="482"/>
      <c r="HQV46" s="312"/>
      <c r="HQW46" s="656"/>
      <c r="HQX46" s="657"/>
      <c r="HQY46" s="656"/>
      <c r="HQZ46" s="657"/>
      <c r="HRA46" s="656"/>
      <c r="HRB46" s="658"/>
      <c r="HRC46" s="656"/>
      <c r="HRD46" s="658"/>
      <c r="HRG46" s="288"/>
      <c r="HRH46" s="312"/>
      <c r="HRI46" s="482"/>
      <c r="HRJ46" s="312"/>
      <c r="HRK46" s="656"/>
      <c r="HRL46" s="657"/>
      <c r="HRM46" s="656"/>
      <c r="HRN46" s="657"/>
      <c r="HRO46" s="656"/>
      <c r="HRP46" s="658"/>
      <c r="HRQ46" s="656"/>
      <c r="HRR46" s="658"/>
      <c r="HRU46" s="288"/>
      <c r="HRV46" s="312"/>
      <c r="HRW46" s="482"/>
      <c r="HRX46" s="312"/>
      <c r="HRY46" s="656"/>
      <c r="HRZ46" s="657"/>
      <c r="HSA46" s="656"/>
      <c r="HSB46" s="657"/>
      <c r="HSC46" s="656"/>
      <c r="HSD46" s="658"/>
      <c r="HSE46" s="656"/>
      <c r="HSF46" s="658"/>
      <c r="HSI46" s="288"/>
      <c r="HSJ46" s="312"/>
      <c r="HSK46" s="482"/>
      <c r="HSL46" s="312"/>
      <c r="HSM46" s="656"/>
      <c r="HSN46" s="657"/>
      <c r="HSO46" s="656"/>
      <c r="HSP46" s="657"/>
      <c r="HSQ46" s="656"/>
      <c r="HSR46" s="658"/>
      <c r="HSS46" s="656"/>
      <c r="HST46" s="658"/>
      <c r="HSW46" s="288"/>
      <c r="HSX46" s="312"/>
      <c r="HSY46" s="482"/>
      <c r="HSZ46" s="312"/>
      <c r="HTA46" s="656"/>
      <c r="HTB46" s="657"/>
      <c r="HTC46" s="656"/>
      <c r="HTD46" s="657"/>
      <c r="HTE46" s="656"/>
      <c r="HTF46" s="658"/>
      <c r="HTG46" s="656"/>
      <c r="HTH46" s="658"/>
      <c r="HTK46" s="288"/>
      <c r="HTL46" s="312"/>
      <c r="HTM46" s="482"/>
      <c r="HTN46" s="312"/>
      <c r="HTO46" s="656"/>
      <c r="HTP46" s="657"/>
      <c r="HTQ46" s="656"/>
      <c r="HTR46" s="657"/>
      <c r="HTS46" s="656"/>
      <c r="HTT46" s="658"/>
      <c r="HTU46" s="656"/>
      <c r="HTV46" s="658"/>
      <c r="HTY46" s="288"/>
      <c r="HTZ46" s="312"/>
      <c r="HUA46" s="482"/>
      <c r="HUB46" s="312"/>
      <c r="HUC46" s="656"/>
      <c r="HUD46" s="657"/>
      <c r="HUE46" s="656"/>
      <c r="HUF46" s="657"/>
      <c r="HUG46" s="656"/>
      <c r="HUH46" s="658"/>
      <c r="HUI46" s="656"/>
      <c r="HUJ46" s="658"/>
      <c r="HUM46" s="288"/>
      <c r="HUN46" s="312"/>
      <c r="HUO46" s="482"/>
      <c r="HUP46" s="312"/>
      <c r="HUQ46" s="656"/>
      <c r="HUR46" s="657"/>
      <c r="HUS46" s="656"/>
      <c r="HUT46" s="657"/>
      <c r="HUU46" s="656"/>
      <c r="HUV46" s="658"/>
      <c r="HUW46" s="656"/>
      <c r="HUX46" s="658"/>
      <c r="HVA46" s="288"/>
      <c r="HVB46" s="312"/>
      <c r="HVC46" s="482"/>
      <c r="HVD46" s="312"/>
      <c r="HVE46" s="656"/>
      <c r="HVF46" s="657"/>
      <c r="HVG46" s="656"/>
      <c r="HVH46" s="657"/>
      <c r="HVI46" s="656"/>
      <c r="HVJ46" s="658"/>
      <c r="HVK46" s="656"/>
      <c r="HVL46" s="658"/>
      <c r="HVO46" s="288"/>
      <c r="HVP46" s="312"/>
      <c r="HVQ46" s="482"/>
      <c r="HVR46" s="312"/>
      <c r="HVS46" s="656"/>
      <c r="HVT46" s="657"/>
      <c r="HVU46" s="656"/>
      <c r="HVV46" s="657"/>
      <c r="HVW46" s="656"/>
      <c r="HVX46" s="658"/>
      <c r="HVY46" s="656"/>
      <c r="HVZ46" s="658"/>
      <c r="HWC46" s="288"/>
      <c r="HWD46" s="312"/>
      <c r="HWE46" s="482"/>
      <c r="HWF46" s="312"/>
      <c r="HWG46" s="656"/>
      <c r="HWH46" s="657"/>
      <c r="HWI46" s="656"/>
      <c r="HWJ46" s="657"/>
      <c r="HWK46" s="656"/>
      <c r="HWL46" s="658"/>
      <c r="HWM46" s="656"/>
      <c r="HWN46" s="658"/>
      <c r="HWQ46" s="288"/>
      <c r="HWR46" s="312"/>
      <c r="HWS46" s="482"/>
      <c r="HWT46" s="312"/>
      <c r="HWU46" s="656"/>
      <c r="HWV46" s="657"/>
      <c r="HWW46" s="656"/>
      <c r="HWX46" s="657"/>
      <c r="HWY46" s="656"/>
      <c r="HWZ46" s="658"/>
      <c r="HXA46" s="656"/>
      <c r="HXB46" s="658"/>
      <c r="HXE46" s="288"/>
      <c r="HXF46" s="312"/>
      <c r="HXG46" s="482"/>
      <c r="HXH46" s="312"/>
      <c r="HXI46" s="656"/>
      <c r="HXJ46" s="657"/>
      <c r="HXK46" s="656"/>
      <c r="HXL46" s="657"/>
      <c r="HXM46" s="656"/>
      <c r="HXN46" s="658"/>
      <c r="HXO46" s="656"/>
      <c r="HXP46" s="658"/>
      <c r="HXS46" s="288"/>
      <c r="HXT46" s="312"/>
      <c r="HXU46" s="482"/>
      <c r="HXV46" s="312"/>
      <c r="HXW46" s="656"/>
      <c r="HXX46" s="657"/>
      <c r="HXY46" s="656"/>
      <c r="HXZ46" s="657"/>
      <c r="HYA46" s="656"/>
      <c r="HYB46" s="658"/>
      <c r="HYC46" s="656"/>
      <c r="HYD46" s="658"/>
      <c r="HYG46" s="288"/>
      <c r="HYH46" s="312"/>
      <c r="HYI46" s="482"/>
      <c r="HYJ46" s="312"/>
      <c r="HYK46" s="656"/>
      <c r="HYL46" s="657"/>
      <c r="HYM46" s="656"/>
      <c r="HYN46" s="657"/>
      <c r="HYO46" s="656"/>
      <c r="HYP46" s="658"/>
      <c r="HYQ46" s="656"/>
      <c r="HYR46" s="658"/>
      <c r="HYU46" s="288"/>
      <c r="HYV46" s="312"/>
      <c r="HYW46" s="482"/>
      <c r="HYX46" s="312"/>
      <c r="HYY46" s="656"/>
      <c r="HYZ46" s="657"/>
      <c r="HZA46" s="656"/>
      <c r="HZB46" s="657"/>
      <c r="HZC46" s="656"/>
      <c r="HZD46" s="658"/>
      <c r="HZE46" s="656"/>
      <c r="HZF46" s="658"/>
      <c r="HZI46" s="288"/>
      <c r="HZJ46" s="312"/>
      <c r="HZK46" s="482"/>
      <c r="HZL46" s="312"/>
      <c r="HZM46" s="656"/>
      <c r="HZN46" s="657"/>
      <c r="HZO46" s="656"/>
      <c r="HZP46" s="657"/>
      <c r="HZQ46" s="656"/>
      <c r="HZR46" s="658"/>
      <c r="HZS46" s="656"/>
      <c r="HZT46" s="658"/>
      <c r="HZW46" s="288"/>
      <c r="HZX46" s="312"/>
      <c r="HZY46" s="482"/>
      <c r="HZZ46" s="312"/>
      <c r="IAA46" s="656"/>
      <c r="IAB46" s="657"/>
      <c r="IAC46" s="656"/>
      <c r="IAD46" s="657"/>
      <c r="IAE46" s="656"/>
      <c r="IAF46" s="658"/>
      <c r="IAG46" s="656"/>
      <c r="IAH46" s="658"/>
      <c r="IAK46" s="288"/>
      <c r="IAL46" s="312"/>
      <c r="IAM46" s="482"/>
      <c r="IAN46" s="312"/>
      <c r="IAO46" s="656"/>
      <c r="IAP46" s="657"/>
      <c r="IAQ46" s="656"/>
      <c r="IAR46" s="657"/>
      <c r="IAS46" s="656"/>
      <c r="IAT46" s="658"/>
      <c r="IAU46" s="656"/>
      <c r="IAV46" s="658"/>
      <c r="IAY46" s="288"/>
      <c r="IAZ46" s="312"/>
      <c r="IBA46" s="482"/>
      <c r="IBB46" s="312"/>
      <c r="IBC46" s="656"/>
      <c r="IBD46" s="657"/>
      <c r="IBE46" s="656"/>
      <c r="IBF46" s="657"/>
      <c r="IBG46" s="656"/>
      <c r="IBH46" s="658"/>
      <c r="IBI46" s="656"/>
      <c r="IBJ46" s="658"/>
      <c r="IBM46" s="288"/>
      <c r="IBN46" s="312"/>
      <c r="IBO46" s="482"/>
      <c r="IBP46" s="312"/>
      <c r="IBQ46" s="656"/>
      <c r="IBR46" s="657"/>
      <c r="IBS46" s="656"/>
      <c r="IBT46" s="657"/>
      <c r="IBU46" s="656"/>
      <c r="IBV46" s="658"/>
      <c r="IBW46" s="656"/>
      <c r="IBX46" s="658"/>
      <c r="ICA46" s="288"/>
      <c r="ICB46" s="312"/>
      <c r="ICC46" s="482"/>
      <c r="ICD46" s="312"/>
      <c r="ICE46" s="656"/>
      <c r="ICF46" s="657"/>
      <c r="ICG46" s="656"/>
      <c r="ICH46" s="657"/>
      <c r="ICI46" s="656"/>
      <c r="ICJ46" s="658"/>
      <c r="ICK46" s="656"/>
      <c r="ICL46" s="658"/>
      <c r="ICO46" s="288"/>
      <c r="ICP46" s="312"/>
      <c r="ICQ46" s="482"/>
      <c r="ICR46" s="312"/>
      <c r="ICS46" s="656"/>
      <c r="ICT46" s="657"/>
      <c r="ICU46" s="656"/>
      <c r="ICV46" s="657"/>
      <c r="ICW46" s="656"/>
      <c r="ICX46" s="658"/>
      <c r="ICY46" s="656"/>
      <c r="ICZ46" s="658"/>
      <c r="IDC46" s="288"/>
      <c r="IDD46" s="312"/>
      <c r="IDE46" s="482"/>
      <c r="IDF46" s="312"/>
      <c r="IDG46" s="656"/>
      <c r="IDH46" s="657"/>
      <c r="IDI46" s="656"/>
      <c r="IDJ46" s="657"/>
      <c r="IDK46" s="656"/>
      <c r="IDL46" s="658"/>
      <c r="IDM46" s="656"/>
      <c r="IDN46" s="658"/>
      <c r="IDQ46" s="288"/>
      <c r="IDR46" s="312"/>
      <c r="IDS46" s="482"/>
      <c r="IDT46" s="312"/>
      <c r="IDU46" s="656"/>
      <c r="IDV46" s="657"/>
      <c r="IDW46" s="656"/>
      <c r="IDX46" s="657"/>
      <c r="IDY46" s="656"/>
      <c r="IDZ46" s="658"/>
      <c r="IEA46" s="656"/>
      <c r="IEB46" s="658"/>
      <c r="IEE46" s="288"/>
      <c r="IEF46" s="312"/>
      <c r="IEG46" s="482"/>
      <c r="IEH46" s="312"/>
      <c r="IEI46" s="656"/>
      <c r="IEJ46" s="657"/>
      <c r="IEK46" s="656"/>
      <c r="IEL46" s="657"/>
      <c r="IEM46" s="656"/>
      <c r="IEN46" s="658"/>
      <c r="IEO46" s="656"/>
      <c r="IEP46" s="658"/>
      <c r="IES46" s="288"/>
      <c r="IET46" s="312"/>
      <c r="IEU46" s="482"/>
      <c r="IEV46" s="312"/>
      <c r="IEW46" s="656"/>
      <c r="IEX46" s="657"/>
      <c r="IEY46" s="656"/>
      <c r="IEZ46" s="657"/>
      <c r="IFA46" s="656"/>
      <c r="IFB46" s="658"/>
      <c r="IFC46" s="656"/>
      <c r="IFD46" s="658"/>
      <c r="IFG46" s="288"/>
      <c r="IFH46" s="312"/>
      <c r="IFI46" s="482"/>
      <c r="IFJ46" s="312"/>
      <c r="IFK46" s="656"/>
      <c r="IFL46" s="657"/>
      <c r="IFM46" s="656"/>
      <c r="IFN46" s="657"/>
      <c r="IFO46" s="656"/>
      <c r="IFP46" s="658"/>
      <c r="IFQ46" s="656"/>
      <c r="IFR46" s="658"/>
      <c r="IFU46" s="288"/>
      <c r="IFV46" s="312"/>
      <c r="IFW46" s="482"/>
      <c r="IFX46" s="312"/>
      <c r="IFY46" s="656"/>
      <c r="IFZ46" s="657"/>
      <c r="IGA46" s="656"/>
      <c r="IGB46" s="657"/>
      <c r="IGC46" s="656"/>
      <c r="IGD46" s="658"/>
      <c r="IGE46" s="656"/>
      <c r="IGF46" s="658"/>
      <c r="IGI46" s="288"/>
      <c r="IGJ46" s="312"/>
      <c r="IGK46" s="482"/>
      <c r="IGL46" s="312"/>
      <c r="IGM46" s="656"/>
      <c r="IGN46" s="657"/>
      <c r="IGO46" s="656"/>
      <c r="IGP46" s="657"/>
      <c r="IGQ46" s="656"/>
      <c r="IGR46" s="658"/>
      <c r="IGS46" s="656"/>
      <c r="IGT46" s="658"/>
      <c r="IGW46" s="288"/>
      <c r="IGX46" s="312"/>
      <c r="IGY46" s="482"/>
      <c r="IGZ46" s="312"/>
      <c r="IHA46" s="656"/>
      <c r="IHB46" s="657"/>
      <c r="IHC46" s="656"/>
      <c r="IHD46" s="657"/>
      <c r="IHE46" s="656"/>
      <c r="IHF46" s="658"/>
      <c r="IHG46" s="656"/>
      <c r="IHH46" s="658"/>
      <c r="IHK46" s="288"/>
      <c r="IHL46" s="312"/>
      <c r="IHM46" s="482"/>
      <c r="IHN46" s="312"/>
      <c r="IHO46" s="656"/>
      <c r="IHP46" s="657"/>
      <c r="IHQ46" s="656"/>
      <c r="IHR46" s="657"/>
      <c r="IHS46" s="656"/>
      <c r="IHT46" s="658"/>
      <c r="IHU46" s="656"/>
      <c r="IHV46" s="658"/>
      <c r="IHY46" s="288"/>
      <c r="IHZ46" s="312"/>
      <c r="IIA46" s="482"/>
      <c r="IIB46" s="312"/>
      <c r="IIC46" s="656"/>
      <c r="IID46" s="657"/>
      <c r="IIE46" s="656"/>
      <c r="IIF46" s="657"/>
      <c r="IIG46" s="656"/>
      <c r="IIH46" s="658"/>
      <c r="III46" s="656"/>
      <c r="IIJ46" s="658"/>
      <c r="IIM46" s="288"/>
      <c r="IIN46" s="312"/>
      <c r="IIO46" s="482"/>
      <c r="IIP46" s="312"/>
      <c r="IIQ46" s="656"/>
      <c r="IIR46" s="657"/>
      <c r="IIS46" s="656"/>
      <c r="IIT46" s="657"/>
      <c r="IIU46" s="656"/>
      <c r="IIV46" s="658"/>
      <c r="IIW46" s="656"/>
      <c r="IIX46" s="658"/>
      <c r="IJA46" s="288"/>
      <c r="IJB46" s="312"/>
      <c r="IJC46" s="482"/>
      <c r="IJD46" s="312"/>
      <c r="IJE46" s="656"/>
      <c r="IJF46" s="657"/>
      <c r="IJG46" s="656"/>
      <c r="IJH46" s="657"/>
      <c r="IJI46" s="656"/>
      <c r="IJJ46" s="658"/>
      <c r="IJK46" s="656"/>
      <c r="IJL46" s="658"/>
      <c r="IJO46" s="288"/>
      <c r="IJP46" s="312"/>
      <c r="IJQ46" s="482"/>
      <c r="IJR46" s="312"/>
      <c r="IJS46" s="656"/>
      <c r="IJT46" s="657"/>
      <c r="IJU46" s="656"/>
      <c r="IJV46" s="657"/>
      <c r="IJW46" s="656"/>
      <c r="IJX46" s="658"/>
      <c r="IJY46" s="656"/>
      <c r="IJZ46" s="658"/>
      <c r="IKC46" s="288"/>
      <c r="IKD46" s="312"/>
      <c r="IKE46" s="482"/>
      <c r="IKF46" s="312"/>
      <c r="IKG46" s="656"/>
      <c r="IKH46" s="657"/>
      <c r="IKI46" s="656"/>
      <c r="IKJ46" s="657"/>
      <c r="IKK46" s="656"/>
      <c r="IKL46" s="658"/>
      <c r="IKM46" s="656"/>
      <c r="IKN46" s="658"/>
      <c r="IKQ46" s="288"/>
      <c r="IKR46" s="312"/>
      <c r="IKS46" s="482"/>
      <c r="IKT46" s="312"/>
      <c r="IKU46" s="656"/>
      <c r="IKV46" s="657"/>
      <c r="IKW46" s="656"/>
      <c r="IKX46" s="657"/>
      <c r="IKY46" s="656"/>
      <c r="IKZ46" s="658"/>
      <c r="ILA46" s="656"/>
      <c r="ILB46" s="658"/>
      <c r="ILE46" s="288"/>
      <c r="ILF46" s="312"/>
      <c r="ILG46" s="482"/>
      <c r="ILH46" s="312"/>
      <c r="ILI46" s="656"/>
      <c r="ILJ46" s="657"/>
      <c r="ILK46" s="656"/>
      <c r="ILL46" s="657"/>
      <c r="ILM46" s="656"/>
      <c r="ILN46" s="658"/>
      <c r="ILO46" s="656"/>
      <c r="ILP46" s="658"/>
      <c r="ILS46" s="288"/>
      <c r="ILT46" s="312"/>
      <c r="ILU46" s="482"/>
      <c r="ILV46" s="312"/>
      <c r="ILW46" s="656"/>
      <c r="ILX46" s="657"/>
      <c r="ILY46" s="656"/>
      <c r="ILZ46" s="657"/>
      <c r="IMA46" s="656"/>
      <c r="IMB46" s="658"/>
      <c r="IMC46" s="656"/>
      <c r="IMD46" s="658"/>
      <c r="IMG46" s="288"/>
      <c r="IMH46" s="312"/>
      <c r="IMI46" s="482"/>
      <c r="IMJ46" s="312"/>
      <c r="IMK46" s="656"/>
      <c r="IML46" s="657"/>
      <c r="IMM46" s="656"/>
      <c r="IMN46" s="657"/>
      <c r="IMO46" s="656"/>
      <c r="IMP46" s="658"/>
      <c r="IMQ46" s="656"/>
      <c r="IMR46" s="658"/>
      <c r="IMU46" s="288"/>
      <c r="IMV46" s="312"/>
      <c r="IMW46" s="482"/>
      <c r="IMX46" s="312"/>
      <c r="IMY46" s="656"/>
      <c r="IMZ46" s="657"/>
      <c r="INA46" s="656"/>
      <c r="INB46" s="657"/>
      <c r="INC46" s="656"/>
      <c r="IND46" s="658"/>
      <c r="INE46" s="656"/>
      <c r="INF46" s="658"/>
      <c r="INI46" s="288"/>
      <c r="INJ46" s="312"/>
      <c r="INK46" s="482"/>
      <c r="INL46" s="312"/>
      <c r="INM46" s="656"/>
      <c r="INN46" s="657"/>
      <c r="INO46" s="656"/>
      <c r="INP46" s="657"/>
      <c r="INQ46" s="656"/>
      <c r="INR46" s="658"/>
      <c r="INS46" s="656"/>
      <c r="INT46" s="658"/>
      <c r="INW46" s="288"/>
      <c r="INX46" s="312"/>
      <c r="INY46" s="482"/>
      <c r="INZ46" s="312"/>
      <c r="IOA46" s="656"/>
      <c r="IOB46" s="657"/>
      <c r="IOC46" s="656"/>
      <c r="IOD46" s="657"/>
      <c r="IOE46" s="656"/>
      <c r="IOF46" s="658"/>
      <c r="IOG46" s="656"/>
      <c r="IOH46" s="658"/>
      <c r="IOK46" s="288"/>
      <c r="IOL46" s="312"/>
      <c r="IOM46" s="482"/>
      <c r="ION46" s="312"/>
      <c r="IOO46" s="656"/>
      <c r="IOP46" s="657"/>
      <c r="IOQ46" s="656"/>
      <c r="IOR46" s="657"/>
      <c r="IOS46" s="656"/>
      <c r="IOT46" s="658"/>
      <c r="IOU46" s="656"/>
      <c r="IOV46" s="658"/>
      <c r="IOY46" s="288"/>
      <c r="IOZ46" s="312"/>
      <c r="IPA46" s="482"/>
      <c r="IPB46" s="312"/>
      <c r="IPC46" s="656"/>
      <c r="IPD46" s="657"/>
      <c r="IPE46" s="656"/>
      <c r="IPF46" s="657"/>
      <c r="IPG46" s="656"/>
      <c r="IPH46" s="658"/>
      <c r="IPI46" s="656"/>
      <c r="IPJ46" s="658"/>
      <c r="IPM46" s="288"/>
      <c r="IPN46" s="312"/>
      <c r="IPO46" s="482"/>
      <c r="IPP46" s="312"/>
      <c r="IPQ46" s="656"/>
      <c r="IPR46" s="657"/>
      <c r="IPS46" s="656"/>
      <c r="IPT46" s="657"/>
      <c r="IPU46" s="656"/>
      <c r="IPV46" s="658"/>
      <c r="IPW46" s="656"/>
      <c r="IPX46" s="658"/>
      <c r="IQA46" s="288"/>
      <c r="IQB46" s="312"/>
      <c r="IQC46" s="482"/>
      <c r="IQD46" s="312"/>
      <c r="IQE46" s="656"/>
      <c r="IQF46" s="657"/>
      <c r="IQG46" s="656"/>
      <c r="IQH46" s="657"/>
      <c r="IQI46" s="656"/>
      <c r="IQJ46" s="658"/>
      <c r="IQK46" s="656"/>
      <c r="IQL46" s="658"/>
      <c r="IQO46" s="288"/>
      <c r="IQP46" s="312"/>
      <c r="IQQ46" s="482"/>
      <c r="IQR46" s="312"/>
      <c r="IQS46" s="656"/>
      <c r="IQT46" s="657"/>
      <c r="IQU46" s="656"/>
      <c r="IQV46" s="657"/>
      <c r="IQW46" s="656"/>
      <c r="IQX46" s="658"/>
      <c r="IQY46" s="656"/>
      <c r="IQZ46" s="658"/>
      <c r="IRC46" s="288"/>
      <c r="IRD46" s="312"/>
      <c r="IRE46" s="482"/>
      <c r="IRF46" s="312"/>
      <c r="IRG46" s="656"/>
      <c r="IRH46" s="657"/>
      <c r="IRI46" s="656"/>
      <c r="IRJ46" s="657"/>
      <c r="IRK46" s="656"/>
      <c r="IRL46" s="658"/>
      <c r="IRM46" s="656"/>
      <c r="IRN46" s="658"/>
      <c r="IRQ46" s="288"/>
      <c r="IRR46" s="312"/>
      <c r="IRS46" s="482"/>
      <c r="IRT46" s="312"/>
      <c r="IRU46" s="656"/>
      <c r="IRV46" s="657"/>
      <c r="IRW46" s="656"/>
      <c r="IRX46" s="657"/>
      <c r="IRY46" s="656"/>
      <c r="IRZ46" s="658"/>
      <c r="ISA46" s="656"/>
      <c r="ISB46" s="658"/>
      <c r="ISE46" s="288"/>
      <c r="ISF46" s="312"/>
      <c r="ISG46" s="482"/>
      <c r="ISH46" s="312"/>
      <c r="ISI46" s="656"/>
      <c r="ISJ46" s="657"/>
      <c r="ISK46" s="656"/>
      <c r="ISL46" s="657"/>
      <c r="ISM46" s="656"/>
      <c r="ISN46" s="658"/>
      <c r="ISO46" s="656"/>
      <c r="ISP46" s="658"/>
      <c r="ISS46" s="288"/>
      <c r="IST46" s="312"/>
      <c r="ISU46" s="482"/>
      <c r="ISV46" s="312"/>
      <c r="ISW46" s="656"/>
      <c r="ISX46" s="657"/>
      <c r="ISY46" s="656"/>
      <c r="ISZ46" s="657"/>
      <c r="ITA46" s="656"/>
      <c r="ITB46" s="658"/>
      <c r="ITC46" s="656"/>
      <c r="ITD46" s="658"/>
      <c r="ITG46" s="288"/>
      <c r="ITH46" s="312"/>
      <c r="ITI46" s="482"/>
      <c r="ITJ46" s="312"/>
      <c r="ITK46" s="656"/>
      <c r="ITL46" s="657"/>
      <c r="ITM46" s="656"/>
      <c r="ITN46" s="657"/>
      <c r="ITO46" s="656"/>
      <c r="ITP46" s="658"/>
      <c r="ITQ46" s="656"/>
      <c r="ITR46" s="658"/>
      <c r="ITU46" s="288"/>
      <c r="ITV46" s="312"/>
      <c r="ITW46" s="482"/>
      <c r="ITX46" s="312"/>
      <c r="ITY46" s="656"/>
      <c r="ITZ46" s="657"/>
      <c r="IUA46" s="656"/>
      <c r="IUB46" s="657"/>
      <c r="IUC46" s="656"/>
      <c r="IUD46" s="658"/>
      <c r="IUE46" s="656"/>
      <c r="IUF46" s="658"/>
      <c r="IUI46" s="288"/>
      <c r="IUJ46" s="312"/>
      <c r="IUK46" s="482"/>
      <c r="IUL46" s="312"/>
      <c r="IUM46" s="656"/>
      <c r="IUN46" s="657"/>
      <c r="IUO46" s="656"/>
      <c r="IUP46" s="657"/>
      <c r="IUQ46" s="656"/>
      <c r="IUR46" s="658"/>
      <c r="IUS46" s="656"/>
      <c r="IUT46" s="658"/>
      <c r="IUW46" s="288"/>
      <c r="IUX46" s="312"/>
      <c r="IUY46" s="482"/>
      <c r="IUZ46" s="312"/>
      <c r="IVA46" s="656"/>
      <c r="IVB46" s="657"/>
      <c r="IVC46" s="656"/>
      <c r="IVD46" s="657"/>
      <c r="IVE46" s="656"/>
      <c r="IVF46" s="658"/>
      <c r="IVG46" s="656"/>
      <c r="IVH46" s="658"/>
      <c r="IVK46" s="288"/>
      <c r="IVL46" s="312"/>
      <c r="IVM46" s="482"/>
      <c r="IVN46" s="312"/>
      <c r="IVO46" s="656"/>
      <c r="IVP46" s="657"/>
      <c r="IVQ46" s="656"/>
      <c r="IVR46" s="657"/>
      <c r="IVS46" s="656"/>
      <c r="IVT46" s="658"/>
      <c r="IVU46" s="656"/>
      <c r="IVV46" s="658"/>
      <c r="IVY46" s="288"/>
      <c r="IVZ46" s="312"/>
      <c r="IWA46" s="482"/>
      <c r="IWB46" s="312"/>
      <c r="IWC46" s="656"/>
      <c r="IWD46" s="657"/>
      <c r="IWE46" s="656"/>
      <c r="IWF46" s="657"/>
      <c r="IWG46" s="656"/>
      <c r="IWH46" s="658"/>
      <c r="IWI46" s="656"/>
      <c r="IWJ46" s="658"/>
      <c r="IWM46" s="288"/>
      <c r="IWN46" s="312"/>
      <c r="IWO46" s="482"/>
      <c r="IWP46" s="312"/>
      <c r="IWQ46" s="656"/>
      <c r="IWR46" s="657"/>
      <c r="IWS46" s="656"/>
      <c r="IWT46" s="657"/>
      <c r="IWU46" s="656"/>
      <c r="IWV46" s="658"/>
      <c r="IWW46" s="656"/>
      <c r="IWX46" s="658"/>
      <c r="IXA46" s="288"/>
      <c r="IXB46" s="312"/>
      <c r="IXC46" s="482"/>
      <c r="IXD46" s="312"/>
      <c r="IXE46" s="656"/>
      <c r="IXF46" s="657"/>
      <c r="IXG46" s="656"/>
      <c r="IXH46" s="657"/>
      <c r="IXI46" s="656"/>
      <c r="IXJ46" s="658"/>
      <c r="IXK46" s="656"/>
      <c r="IXL46" s="658"/>
      <c r="IXO46" s="288"/>
      <c r="IXP46" s="312"/>
      <c r="IXQ46" s="482"/>
      <c r="IXR46" s="312"/>
      <c r="IXS46" s="656"/>
      <c r="IXT46" s="657"/>
      <c r="IXU46" s="656"/>
      <c r="IXV46" s="657"/>
      <c r="IXW46" s="656"/>
      <c r="IXX46" s="658"/>
      <c r="IXY46" s="656"/>
      <c r="IXZ46" s="658"/>
      <c r="IYC46" s="288"/>
      <c r="IYD46" s="312"/>
      <c r="IYE46" s="482"/>
      <c r="IYF46" s="312"/>
      <c r="IYG46" s="656"/>
      <c r="IYH46" s="657"/>
      <c r="IYI46" s="656"/>
      <c r="IYJ46" s="657"/>
      <c r="IYK46" s="656"/>
      <c r="IYL46" s="658"/>
      <c r="IYM46" s="656"/>
      <c r="IYN46" s="658"/>
      <c r="IYQ46" s="288"/>
      <c r="IYR46" s="312"/>
      <c r="IYS46" s="482"/>
      <c r="IYT46" s="312"/>
      <c r="IYU46" s="656"/>
      <c r="IYV46" s="657"/>
      <c r="IYW46" s="656"/>
      <c r="IYX46" s="657"/>
      <c r="IYY46" s="656"/>
      <c r="IYZ46" s="658"/>
      <c r="IZA46" s="656"/>
      <c r="IZB46" s="658"/>
      <c r="IZE46" s="288"/>
      <c r="IZF46" s="312"/>
      <c r="IZG46" s="482"/>
      <c r="IZH46" s="312"/>
      <c r="IZI46" s="656"/>
      <c r="IZJ46" s="657"/>
      <c r="IZK46" s="656"/>
      <c r="IZL46" s="657"/>
      <c r="IZM46" s="656"/>
      <c r="IZN46" s="658"/>
      <c r="IZO46" s="656"/>
      <c r="IZP46" s="658"/>
      <c r="IZS46" s="288"/>
      <c r="IZT46" s="312"/>
      <c r="IZU46" s="482"/>
      <c r="IZV46" s="312"/>
      <c r="IZW46" s="656"/>
      <c r="IZX46" s="657"/>
      <c r="IZY46" s="656"/>
      <c r="IZZ46" s="657"/>
      <c r="JAA46" s="656"/>
      <c r="JAB46" s="658"/>
      <c r="JAC46" s="656"/>
      <c r="JAD46" s="658"/>
      <c r="JAG46" s="288"/>
      <c r="JAH46" s="312"/>
      <c r="JAI46" s="482"/>
      <c r="JAJ46" s="312"/>
      <c r="JAK46" s="656"/>
      <c r="JAL46" s="657"/>
      <c r="JAM46" s="656"/>
      <c r="JAN46" s="657"/>
      <c r="JAO46" s="656"/>
      <c r="JAP46" s="658"/>
      <c r="JAQ46" s="656"/>
      <c r="JAR46" s="658"/>
      <c r="JAU46" s="288"/>
      <c r="JAV46" s="312"/>
      <c r="JAW46" s="482"/>
      <c r="JAX46" s="312"/>
      <c r="JAY46" s="656"/>
      <c r="JAZ46" s="657"/>
      <c r="JBA46" s="656"/>
      <c r="JBB46" s="657"/>
      <c r="JBC46" s="656"/>
      <c r="JBD46" s="658"/>
      <c r="JBE46" s="656"/>
      <c r="JBF46" s="658"/>
      <c r="JBI46" s="288"/>
      <c r="JBJ46" s="312"/>
      <c r="JBK46" s="482"/>
      <c r="JBL46" s="312"/>
      <c r="JBM46" s="656"/>
      <c r="JBN46" s="657"/>
      <c r="JBO46" s="656"/>
      <c r="JBP46" s="657"/>
      <c r="JBQ46" s="656"/>
      <c r="JBR46" s="658"/>
      <c r="JBS46" s="656"/>
      <c r="JBT46" s="658"/>
      <c r="JBW46" s="288"/>
      <c r="JBX46" s="312"/>
      <c r="JBY46" s="482"/>
      <c r="JBZ46" s="312"/>
      <c r="JCA46" s="656"/>
      <c r="JCB46" s="657"/>
      <c r="JCC46" s="656"/>
      <c r="JCD46" s="657"/>
      <c r="JCE46" s="656"/>
      <c r="JCF46" s="658"/>
      <c r="JCG46" s="656"/>
      <c r="JCH46" s="658"/>
      <c r="JCK46" s="288"/>
      <c r="JCL46" s="312"/>
      <c r="JCM46" s="482"/>
      <c r="JCN46" s="312"/>
      <c r="JCO46" s="656"/>
      <c r="JCP46" s="657"/>
      <c r="JCQ46" s="656"/>
      <c r="JCR46" s="657"/>
      <c r="JCS46" s="656"/>
      <c r="JCT46" s="658"/>
      <c r="JCU46" s="656"/>
      <c r="JCV46" s="658"/>
      <c r="JCY46" s="288"/>
      <c r="JCZ46" s="312"/>
      <c r="JDA46" s="482"/>
      <c r="JDB46" s="312"/>
      <c r="JDC46" s="656"/>
      <c r="JDD46" s="657"/>
      <c r="JDE46" s="656"/>
      <c r="JDF46" s="657"/>
      <c r="JDG46" s="656"/>
      <c r="JDH46" s="658"/>
      <c r="JDI46" s="656"/>
      <c r="JDJ46" s="658"/>
      <c r="JDM46" s="288"/>
      <c r="JDN46" s="312"/>
      <c r="JDO46" s="482"/>
      <c r="JDP46" s="312"/>
      <c r="JDQ46" s="656"/>
      <c r="JDR46" s="657"/>
      <c r="JDS46" s="656"/>
      <c r="JDT46" s="657"/>
      <c r="JDU46" s="656"/>
      <c r="JDV46" s="658"/>
      <c r="JDW46" s="656"/>
      <c r="JDX46" s="658"/>
      <c r="JEA46" s="288"/>
      <c r="JEB46" s="312"/>
      <c r="JEC46" s="482"/>
      <c r="JED46" s="312"/>
      <c r="JEE46" s="656"/>
      <c r="JEF46" s="657"/>
      <c r="JEG46" s="656"/>
      <c r="JEH46" s="657"/>
      <c r="JEI46" s="656"/>
      <c r="JEJ46" s="658"/>
      <c r="JEK46" s="656"/>
      <c r="JEL46" s="658"/>
      <c r="JEO46" s="288"/>
      <c r="JEP46" s="312"/>
      <c r="JEQ46" s="482"/>
      <c r="JER46" s="312"/>
      <c r="JES46" s="656"/>
      <c r="JET46" s="657"/>
      <c r="JEU46" s="656"/>
      <c r="JEV46" s="657"/>
      <c r="JEW46" s="656"/>
      <c r="JEX46" s="658"/>
      <c r="JEY46" s="656"/>
      <c r="JEZ46" s="658"/>
      <c r="JFC46" s="288"/>
      <c r="JFD46" s="312"/>
      <c r="JFE46" s="482"/>
      <c r="JFF46" s="312"/>
      <c r="JFG46" s="656"/>
      <c r="JFH46" s="657"/>
      <c r="JFI46" s="656"/>
      <c r="JFJ46" s="657"/>
      <c r="JFK46" s="656"/>
      <c r="JFL46" s="658"/>
      <c r="JFM46" s="656"/>
      <c r="JFN46" s="658"/>
      <c r="JFQ46" s="288"/>
      <c r="JFR46" s="312"/>
      <c r="JFS46" s="482"/>
      <c r="JFT46" s="312"/>
      <c r="JFU46" s="656"/>
      <c r="JFV46" s="657"/>
      <c r="JFW46" s="656"/>
      <c r="JFX46" s="657"/>
      <c r="JFY46" s="656"/>
      <c r="JFZ46" s="658"/>
      <c r="JGA46" s="656"/>
      <c r="JGB46" s="658"/>
      <c r="JGE46" s="288"/>
      <c r="JGF46" s="312"/>
      <c r="JGG46" s="482"/>
      <c r="JGH46" s="312"/>
      <c r="JGI46" s="656"/>
      <c r="JGJ46" s="657"/>
      <c r="JGK46" s="656"/>
      <c r="JGL46" s="657"/>
      <c r="JGM46" s="656"/>
      <c r="JGN46" s="658"/>
      <c r="JGO46" s="656"/>
      <c r="JGP46" s="658"/>
      <c r="JGS46" s="288"/>
      <c r="JGT46" s="312"/>
      <c r="JGU46" s="482"/>
      <c r="JGV46" s="312"/>
      <c r="JGW46" s="656"/>
      <c r="JGX46" s="657"/>
      <c r="JGY46" s="656"/>
      <c r="JGZ46" s="657"/>
      <c r="JHA46" s="656"/>
      <c r="JHB46" s="658"/>
      <c r="JHC46" s="656"/>
      <c r="JHD46" s="658"/>
      <c r="JHG46" s="288"/>
      <c r="JHH46" s="312"/>
      <c r="JHI46" s="482"/>
      <c r="JHJ46" s="312"/>
      <c r="JHK46" s="656"/>
      <c r="JHL46" s="657"/>
      <c r="JHM46" s="656"/>
      <c r="JHN46" s="657"/>
      <c r="JHO46" s="656"/>
      <c r="JHP46" s="658"/>
      <c r="JHQ46" s="656"/>
      <c r="JHR46" s="658"/>
      <c r="JHU46" s="288"/>
      <c r="JHV46" s="312"/>
      <c r="JHW46" s="482"/>
      <c r="JHX46" s="312"/>
      <c r="JHY46" s="656"/>
      <c r="JHZ46" s="657"/>
      <c r="JIA46" s="656"/>
      <c r="JIB46" s="657"/>
      <c r="JIC46" s="656"/>
      <c r="JID46" s="658"/>
      <c r="JIE46" s="656"/>
      <c r="JIF46" s="658"/>
      <c r="JII46" s="288"/>
      <c r="JIJ46" s="312"/>
      <c r="JIK46" s="482"/>
      <c r="JIL46" s="312"/>
      <c r="JIM46" s="656"/>
      <c r="JIN46" s="657"/>
      <c r="JIO46" s="656"/>
      <c r="JIP46" s="657"/>
      <c r="JIQ46" s="656"/>
      <c r="JIR46" s="658"/>
      <c r="JIS46" s="656"/>
      <c r="JIT46" s="658"/>
      <c r="JIW46" s="288"/>
      <c r="JIX46" s="312"/>
      <c r="JIY46" s="482"/>
      <c r="JIZ46" s="312"/>
      <c r="JJA46" s="656"/>
      <c r="JJB46" s="657"/>
      <c r="JJC46" s="656"/>
      <c r="JJD46" s="657"/>
      <c r="JJE46" s="656"/>
      <c r="JJF46" s="658"/>
      <c r="JJG46" s="656"/>
      <c r="JJH46" s="658"/>
      <c r="JJK46" s="288"/>
      <c r="JJL46" s="312"/>
      <c r="JJM46" s="482"/>
      <c r="JJN46" s="312"/>
      <c r="JJO46" s="656"/>
      <c r="JJP46" s="657"/>
      <c r="JJQ46" s="656"/>
      <c r="JJR46" s="657"/>
      <c r="JJS46" s="656"/>
      <c r="JJT46" s="658"/>
      <c r="JJU46" s="656"/>
      <c r="JJV46" s="658"/>
      <c r="JJY46" s="288"/>
      <c r="JJZ46" s="312"/>
      <c r="JKA46" s="482"/>
      <c r="JKB46" s="312"/>
      <c r="JKC46" s="656"/>
      <c r="JKD46" s="657"/>
      <c r="JKE46" s="656"/>
      <c r="JKF46" s="657"/>
      <c r="JKG46" s="656"/>
      <c r="JKH46" s="658"/>
      <c r="JKI46" s="656"/>
      <c r="JKJ46" s="658"/>
      <c r="JKM46" s="288"/>
      <c r="JKN46" s="312"/>
      <c r="JKO46" s="482"/>
      <c r="JKP46" s="312"/>
      <c r="JKQ46" s="656"/>
      <c r="JKR46" s="657"/>
      <c r="JKS46" s="656"/>
      <c r="JKT46" s="657"/>
      <c r="JKU46" s="656"/>
      <c r="JKV46" s="658"/>
      <c r="JKW46" s="656"/>
      <c r="JKX46" s="658"/>
      <c r="JLA46" s="288"/>
      <c r="JLB46" s="312"/>
      <c r="JLC46" s="482"/>
      <c r="JLD46" s="312"/>
      <c r="JLE46" s="656"/>
      <c r="JLF46" s="657"/>
      <c r="JLG46" s="656"/>
      <c r="JLH46" s="657"/>
      <c r="JLI46" s="656"/>
      <c r="JLJ46" s="658"/>
      <c r="JLK46" s="656"/>
      <c r="JLL46" s="658"/>
      <c r="JLO46" s="288"/>
      <c r="JLP46" s="312"/>
      <c r="JLQ46" s="482"/>
      <c r="JLR46" s="312"/>
      <c r="JLS46" s="656"/>
      <c r="JLT46" s="657"/>
      <c r="JLU46" s="656"/>
      <c r="JLV46" s="657"/>
      <c r="JLW46" s="656"/>
      <c r="JLX46" s="658"/>
      <c r="JLY46" s="656"/>
      <c r="JLZ46" s="658"/>
      <c r="JMC46" s="288"/>
      <c r="JMD46" s="312"/>
      <c r="JME46" s="482"/>
      <c r="JMF46" s="312"/>
      <c r="JMG46" s="656"/>
      <c r="JMH46" s="657"/>
      <c r="JMI46" s="656"/>
      <c r="JMJ46" s="657"/>
      <c r="JMK46" s="656"/>
      <c r="JML46" s="658"/>
      <c r="JMM46" s="656"/>
      <c r="JMN46" s="658"/>
      <c r="JMQ46" s="288"/>
      <c r="JMR46" s="312"/>
      <c r="JMS46" s="482"/>
      <c r="JMT46" s="312"/>
      <c r="JMU46" s="656"/>
      <c r="JMV46" s="657"/>
      <c r="JMW46" s="656"/>
      <c r="JMX46" s="657"/>
      <c r="JMY46" s="656"/>
      <c r="JMZ46" s="658"/>
      <c r="JNA46" s="656"/>
      <c r="JNB46" s="658"/>
      <c r="JNE46" s="288"/>
      <c r="JNF46" s="312"/>
      <c r="JNG46" s="482"/>
      <c r="JNH46" s="312"/>
      <c r="JNI46" s="656"/>
      <c r="JNJ46" s="657"/>
      <c r="JNK46" s="656"/>
      <c r="JNL46" s="657"/>
      <c r="JNM46" s="656"/>
      <c r="JNN46" s="658"/>
      <c r="JNO46" s="656"/>
      <c r="JNP46" s="658"/>
      <c r="JNS46" s="288"/>
      <c r="JNT46" s="312"/>
      <c r="JNU46" s="482"/>
      <c r="JNV46" s="312"/>
      <c r="JNW46" s="656"/>
      <c r="JNX46" s="657"/>
      <c r="JNY46" s="656"/>
      <c r="JNZ46" s="657"/>
      <c r="JOA46" s="656"/>
      <c r="JOB46" s="658"/>
      <c r="JOC46" s="656"/>
      <c r="JOD46" s="658"/>
      <c r="JOG46" s="288"/>
      <c r="JOH46" s="312"/>
      <c r="JOI46" s="482"/>
      <c r="JOJ46" s="312"/>
      <c r="JOK46" s="656"/>
      <c r="JOL46" s="657"/>
      <c r="JOM46" s="656"/>
      <c r="JON46" s="657"/>
      <c r="JOO46" s="656"/>
      <c r="JOP46" s="658"/>
      <c r="JOQ46" s="656"/>
      <c r="JOR46" s="658"/>
      <c r="JOU46" s="288"/>
      <c r="JOV46" s="312"/>
      <c r="JOW46" s="482"/>
      <c r="JOX46" s="312"/>
      <c r="JOY46" s="656"/>
      <c r="JOZ46" s="657"/>
      <c r="JPA46" s="656"/>
      <c r="JPB46" s="657"/>
      <c r="JPC46" s="656"/>
      <c r="JPD46" s="658"/>
      <c r="JPE46" s="656"/>
      <c r="JPF46" s="658"/>
      <c r="JPI46" s="288"/>
      <c r="JPJ46" s="312"/>
      <c r="JPK46" s="482"/>
      <c r="JPL46" s="312"/>
      <c r="JPM46" s="656"/>
      <c r="JPN46" s="657"/>
      <c r="JPO46" s="656"/>
      <c r="JPP46" s="657"/>
      <c r="JPQ46" s="656"/>
      <c r="JPR46" s="658"/>
      <c r="JPS46" s="656"/>
      <c r="JPT46" s="658"/>
      <c r="JPW46" s="288"/>
      <c r="JPX46" s="312"/>
      <c r="JPY46" s="482"/>
      <c r="JPZ46" s="312"/>
      <c r="JQA46" s="656"/>
      <c r="JQB46" s="657"/>
      <c r="JQC46" s="656"/>
      <c r="JQD46" s="657"/>
      <c r="JQE46" s="656"/>
      <c r="JQF46" s="658"/>
      <c r="JQG46" s="656"/>
      <c r="JQH46" s="658"/>
      <c r="JQK46" s="288"/>
      <c r="JQL46" s="312"/>
      <c r="JQM46" s="482"/>
      <c r="JQN46" s="312"/>
      <c r="JQO46" s="656"/>
      <c r="JQP46" s="657"/>
      <c r="JQQ46" s="656"/>
      <c r="JQR46" s="657"/>
      <c r="JQS46" s="656"/>
      <c r="JQT46" s="658"/>
      <c r="JQU46" s="656"/>
      <c r="JQV46" s="658"/>
      <c r="JQY46" s="288"/>
      <c r="JQZ46" s="312"/>
      <c r="JRA46" s="482"/>
      <c r="JRB46" s="312"/>
      <c r="JRC46" s="656"/>
      <c r="JRD46" s="657"/>
      <c r="JRE46" s="656"/>
      <c r="JRF46" s="657"/>
      <c r="JRG46" s="656"/>
      <c r="JRH46" s="658"/>
      <c r="JRI46" s="656"/>
      <c r="JRJ46" s="658"/>
      <c r="JRM46" s="288"/>
      <c r="JRN46" s="312"/>
      <c r="JRO46" s="482"/>
      <c r="JRP46" s="312"/>
      <c r="JRQ46" s="656"/>
      <c r="JRR46" s="657"/>
      <c r="JRS46" s="656"/>
      <c r="JRT46" s="657"/>
      <c r="JRU46" s="656"/>
      <c r="JRV46" s="658"/>
      <c r="JRW46" s="656"/>
      <c r="JRX46" s="658"/>
      <c r="JSA46" s="288"/>
      <c r="JSB46" s="312"/>
      <c r="JSC46" s="482"/>
      <c r="JSD46" s="312"/>
      <c r="JSE46" s="656"/>
      <c r="JSF46" s="657"/>
      <c r="JSG46" s="656"/>
      <c r="JSH46" s="657"/>
      <c r="JSI46" s="656"/>
      <c r="JSJ46" s="658"/>
      <c r="JSK46" s="656"/>
      <c r="JSL46" s="658"/>
      <c r="JSO46" s="288"/>
      <c r="JSP46" s="312"/>
      <c r="JSQ46" s="482"/>
      <c r="JSR46" s="312"/>
      <c r="JSS46" s="656"/>
      <c r="JST46" s="657"/>
      <c r="JSU46" s="656"/>
      <c r="JSV46" s="657"/>
      <c r="JSW46" s="656"/>
      <c r="JSX46" s="658"/>
      <c r="JSY46" s="656"/>
      <c r="JSZ46" s="658"/>
      <c r="JTC46" s="288"/>
      <c r="JTD46" s="312"/>
      <c r="JTE46" s="482"/>
      <c r="JTF46" s="312"/>
      <c r="JTG46" s="656"/>
      <c r="JTH46" s="657"/>
      <c r="JTI46" s="656"/>
      <c r="JTJ46" s="657"/>
      <c r="JTK46" s="656"/>
      <c r="JTL46" s="658"/>
      <c r="JTM46" s="656"/>
      <c r="JTN46" s="658"/>
      <c r="JTQ46" s="288"/>
      <c r="JTR46" s="312"/>
      <c r="JTS46" s="482"/>
      <c r="JTT46" s="312"/>
      <c r="JTU46" s="656"/>
      <c r="JTV46" s="657"/>
      <c r="JTW46" s="656"/>
      <c r="JTX46" s="657"/>
      <c r="JTY46" s="656"/>
      <c r="JTZ46" s="658"/>
      <c r="JUA46" s="656"/>
      <c r="JUB46" s="658"/>
      <c r="JUE46" s="288"/>
      <c r="JUF46" s="312"/>
      <c r="JUG46" s="482"/>
      <c r="JUH46" s="312"/>
      <c r="JUI46" s="656"/>
      <c r="JUJ46" s="657"/>
      <c r="JUK46" s="656"/>
      <c r="JUL46" s="657"/>
      <c r="JUM46" s="656"/>
      <c r="JUN46" s="658"/>
      <c r="JUO46" s="656"/>
      <c r="JUP46" s="658"/>
      <c r="JUS46" s="288"/>
      <c r="JUT46" s="312"/>
      <c r="JUU46" s="482"/>
      <c r="JUV46" s="312"/>
      <c r="JUW46" s="656"/>
      <c r="JUX46" s="657"/>
      <c r="JUY46" s="656"/>
      <c r="JUZ46" s="657"/>
      <c r="JVA46" s="656"/>
      <c r="JVB46" s="658"/>
      <c r="JVC46" s="656"/>
      <c r="JVD46" s="658"/>
      <c r="JVG46" s="288"/>
      <c r="JVH46" s="312"/>
      <c r="JVI46" s="482"/>
      <c r="JVJ46" s="312"/>
      <c r="JVK46" s="656"/>
      <c r="JVL46" s="657"/>
      <c r="JVM46" s="656"/>
      <c r="JVN46" s="657"/>
      <c r="JVO46" s="656"/>
      <c r="JVP46" s="658"/>
      <c r="JVQ46" s="656"/>
      <c r="JVR46" s="658"/>
      <c r="JVU46" s="288"/>
      <c r="JVV46" s="312"/>
      <c r="JVW46" s="482"/>
      <c r="JVX46" s="312"/>
      <c r="JVY46" s="656"/>
      <c r="JVZ46" s="657"/>
      <c r="JWA46" s="656"/>
      <c r="JWB46" s="657"/>
      <c r="JWC46" s="656"/>
      <c r="JWD46" s="658"/>
      <c r="JWE46" s="656"/>
      <c r="JWF46" s="658"/>
      <c r="JWI46" s="288"/>
      <c r="JWJ46" s="312"/>
      <c r="JWK46" s="482"/>
      <c r="JWL46" s="312"/>
      <c r="JWM46" s="656"/>
      <c r="JWN46" s="657"/>
      <c r="JWO46" s="656"/>
      <c r="JWP46" s="657"/>
      <c r="JWQ46" s="656"/>
      <c r="JWR46" s="658"/>
      <c r="JWS46" s="656"/>
      <c r="JWT46" s="658"/>
      <c r="JWW46" s="288"/>
      <c r="JWX46" s="312"/>
      <c r="JWY46" s="482"/>
      <c r="JWZ46" s="312"/>
      <c r="JXA46" s="656"/>
      <c r="JXB46" s="657"/>
      <c r="JXC46" s="656"/>
      <c r="JXD46" s="657"/>
      <c r="JXE46" s="656"/>
      <c r="JXF46" s="658"/>
      <c r="JXG46" s="656"/>
      <c r="JXH46" s="658"/>
      <c r="JXK46" s="288"/>
      <c r="JXL46" s="312"/>
      <c r="JXM46" s="482"/>
      <c r="JXN46" s="312"/>
      <c r="JXO46" s="656"/>
      <c r="JXP46" s="657"/>
      <c r="JXQ46" s="656"/>
      <c r="JXR46" s="657"/>
      <c r="JXS46" s="656"/>
      <c r="JXT46" s="658"/>
      <c r="JXU46" s="656"/>
      <c r="JXV46" s="658"/>
      <c r="JXY46" s="288"/>
      <c r="JXZ46" s="312"/>
      <c r="JYA46" s="482"/>
      <c r="JYB46" s="312"/>
      <c r="JYC46" s="656"/>
      <c r="JYD46" s="657"/>
      <c r="JYE46" s="656"/>
      <c r="JYF46" s="657"/>
      <c r="JYG46" s="656"/>
      <c r="JYH46" s="658"/>
      <c r="JYI46" s="656"/>
      <c r="JYJ46" s="658"/>
      <c r="JYM46" s="288"/>
      <c r="JYN46" s="312"/>
      <c r="JYO46" s="482"/>
      <c r="JYP46" s="312"/>
      <c r="JYQ46" s="656"/>
      <c r="JYR46" s="657"/>
      <c r="JYS46" s="656"/>
      <c r="JYT46" s="657"/>
      <c r="JYU46" s="656"/>
      <c r="JYV46" s="658"/>
      <c r="JYW46" s="656"/>
      <c r="JYX46" s="658"/>
      <c r="JZA46" s="288"/>
      <c r="JZB46" s="312"/>
      <c r="JZC46" s="482"/>
      <c r="JZD46" s="312"/>
      <c r="JZE46" s="656"/>
      <c r="JZF46" s="657"/>
      <c r="JZG46" s="656"/>
      <c r="JZH46" s="657"/>
      <c r="JZI46" s="656"/>
      <c r="JZJ46" s="658"/>
      <c r="JZK46" s="656"/>
      <c r="JZL46" s="658"/>
      <c r="JZO46" s="288"/>
      <c r="JZP46" s="312"/>
      <c r="JZQ46" s="482"/>
      <c r="JZR46" s="312"/>
      <c r="JZS46" s="656"/>
      <c r="JZT46" s="657"/>
      <c r="JZU46" s="656"/>
      <c r="JZV46" s="657"/>
      <c r="JZW46" s="656"/>
      <c r="JZX46" s="658"/>
      <c r="JZY46" s="656"/>
      <c r="JZZ46" s="658"/>
      <c r="KAC46" s="288"/>
      <c r="KAD46" s="312"/>
      <c r="KAE46" s="482"/>
      <c r="KAF46" s="312"/>
      <c r="KAG46" s="656"/>
      <c r="KAH46" s="657"/>
      <c r="KAI46" s="656"/>
      <c r="KAJ46" s="657"/>
      <c r="KAK46" s="656"/>
      <c r="KAL46" s="658"/>
      <c r="KAM46" s="656"/>
      <c r="KAN46" s="658"/>
      <c r="KAQ46" s="288"/>
      <c r="KAR46" s="312"/>
      <c r="KAS46" s="482"/>
      <c r="KAT46" s="312"/>
      <c r="KAU46" s="656"/>
      <c r="KAV46" s="657"/>
      <c r="KAW46" s="656"/>
      <c r="KAX46" s="657"/>
      <c r="KAY46" s="656"/>
      <c r="KAZ46" s="658"/>
      <c r="KBA46" s="656"/>
      <c r="KBB46" s="658"/>
      <c r="KBE46" s="288"/>
      <c r="KBF46" s="312"/>
      <c r="KBG46" s="482"/>
      <c r="KBH46" s="312"/>
      <c r="KBI46" s="656"/>
      <c r="KBJ46" s="657"/>
      <c r="KBK46" s="656"/>
      <c r="KBL46" s="657"/>
      <c r="KBM46" s="656"/>
      <c r="KBN46" s="658"/>
      <c r="KBO46" s="656"/>
      <c r="KBP46" s="658"/>
      <c r="KBS46" s="288"/>
      <c r="KBT46" s="312"/>
      <c r="KBU46" s="482"/>
      <c r="KBV46" s="312"/>
      <c r="KBW46" s="656"/>
      <c r="KBX46" s="657"/>
      <c r="KBY46" s="656"/>
      <c r="KBZ46" s="657"/>
      <c r="KCA46" s="656"/>
      <c r="KCB46" s="658"/>
      <c r="KCC46" s="656"/>
      <c r="KCD46" s="658"/>
      <c r="KCG46" s="288"/>
      <c r="KCH46" s="312"/>
      <c r="KCI46" s="482"/>
      <c r="KCJ46" s="312"/>
      <c r="KCK46" s="656"/>
      <c r="KCL46" s="657"/>
      <c r="KCM46" s="656"/>
      <c r="KCN46" s="657"/>
      <c r="KCO46" s="656"/>
      <c r="KCP46" s="658"/>
      <c r="KCQ46" s="656"/>
      <c r="KCR46" s="658"/>
      <c r="KCU46" s="288"/>
      <c r="KCV46" s="312"/>
      <c r="KCW46" s="482"/>
      <c r="KCX46" s="312"/>
      <c r="KCY46" s="656"/>
      <c r="KCZ46" s="657"/>
      <c r="KDA46" s="656"/>
      <c r="KDB46" s="657"/>
      <c r="KDC46" s="656"/>
      <c r="KDD46" s="658"/>
      <c r="KDE46" s="656"/>
      <c r="KDF46" s="658"/>
      <c r="KDI46" s="288"/>
      <c r="KDJ46" s="312"/>
      <c r="KDK46" s="482"/>
      <c r="KDL46" s="312"/>
      <c r="KDM46" s="656"/>
      <c r="KDN46" s="657"/>
      <c r="KDO46" s="656"/>
      <c r="KDP46" s="657"/>
      <c r="KDQ46" s="656"/>
      <c r="KDR46" s="658"/>
      <c r="KDS46" s="656"/>
      <c r="KDT46" s="658"/>
      <c r="KDW46" s="288"/>
      <c r="KDX46" s="312"/>
      <c r="KDY46" s="482"/>
      <c r="KDZ46" s="312"/>
      <c r="KEA46" s="656"/>
      <c r="KEB46" s="657"/>
      <c r="KEC46" s="656"/>
      <c r="KED46" s="657"/>
      <c r="KEE46" s="656"/>
      <c r="KEF46" s="658"/>
      <c r="KEG46" s="656"/>
      <c r="KEH46" s="658"/>
      <c r="KEK46" s="288"/>
      <c r="KEL46" s="312"/>
      <c r="KEM46" s="482"/>
      <c r="KEN46" s="312"/>
      <c r="KEO46" s="656"/>
      <c r="KEP46" s="657"/>
      <c r="KEQ46" s="656"/>
      <c r="KER46" s="657"/>
      <c r="KES46" s="656"/>
      <c r="KET46" s="658"/>
      <c r="KEU46" s="656"/>
      <c r="KEV46" s="658"/>
      <c r="KEY46" s="288"/>
      <c r="KEZ46" s="312"/>
      <c r="KFA46" s="482"/>
      <c r="KFB46" s="312"/>
      <c r="KFC46" s="656"/>
      <c r="KFD46" s="657"/>
      <c r="KFE46" s="656"/>
      <c r="KFF46" s="657"/>
      <c r="KFG46" s="656"/>
      <c r="KFH46" s="658"/>
      <c r="KFI46" s="656"/>
      <c r="KFJ46" s="658"/>
      <c r="KFM46" s="288"/>
      <c r="KFN46" s="312"/>
      <c r="KFO46" s="482"/>
      <c r="KFP46" s="312"/>
      <c r="KFQ46" s="656"/>
      <c r="KFR46" s="657"/>
      <c r="KFS46" s="656"/>
      <c r="KFT46" s="657"/>
      <c r="KFU46" s="656"/>
      <c r="KFV46" s="658"/>
      <c r="KFW46" s="656"/>
      <c r="KFX46" s="658"/>
      <c r="KGA46" s="288"/>
      <c r="KGB46" s="312"/>
      <c r="KGC46" s="482"/>
      <c r="KGD46" s="312"/>
      <c r="KGE46" s="656"/>
      <c r="KGF46" s="657"/>
      <c r="KGG46" s="656"/>
      <c r="KGH46" s="657"/>
      <c r="KGI46" s="656"/>
      <c r="KGJ46" s="658"/>
      <c r="KGK46" s="656"/>
      <c r="KGL46" s="658"/>
      <c r="KGO46" s="288"/>
      <c r="KGP46" s="312"/>
      <c r="KGQ46" s="482"/>
      <c r="KGR46" s="312"/>
      <c r="KGS46" s="656"/>
      <c r="KGT46" s="657"/>
      <c r="KGU46" s="656"/>
      <c r="KGV46" s="657"/>
      <c r="KGW46" s="656"/>
      <c r="KGX46" s="658"/>
      <c r="KGY46" s="656"/>
      <c r="KGZ46" s="658"/>
      <c r="KHC46" s="288"/>
      <c r="KHD46" s="312"/>
      <c r="KHE46" s="482"/>
      <c r="KHF46" s="312"/>
      <c r="KHG46" s="656"/>
      <c r="KHH46" s="657"/>
      <c r="KHI46" s="656"/>
      <c r="KHJ46" s="657"/>
      <c r="KHK46" s="656"/>
      <c r="KHL46" s="658"/>
      <c r="KHM46" s="656"/>
      <c r="KHN46" s="658"/>
      <c r="KHQ46" s="288"/>
      <c r="KHR46" s="312"/>
      <c r="KHS46" s="482"/>
      <c r="KHT46" s="312"/>
      <c r="KHU46" s="656"/>
      <c r="KHV46" s="657"/>
      <c r="KHW46" s="656"/>
      <c r="KHX46" s="657"/>
      <c r="KHY46" s="656"/>
      <c r="KHZ46" s="658"/>
      <c r="KIA46" s="656"/>
      <c r="KIB46" s="658"/>
      <c r="KIE46" s="288"/>
      <c r="KIF46" s="312"/>
      <c r="KIG46" s="482"/>
      <c r="KIH46" s="312"/>
      <c r="KII46" s="656"/>
      <c r="KIJ46" s="657"/>
      <c r="KIK46" s="656"/>
      <c r="KIL46" s="657"/>
      <c r="KIM46" s="656"/>
      <c r="KIN46" s="658"/>
      <c r="KIO46" s="656"/>
      <c r="KIP46" s="658"/>
      <c r="KIS46" s="288"/>
      <c r="KIT46" s="312"/>
      <c r="KIU46" s="482"/>
      <c r="KIV46" s="312"/>
      <c r="KIW46" s="656"/>
      <c r="KIX46" s="657"/>
      <c r="KIY46" s="656"/>
      <c r="KIZ46" s="657"/>
      <c r="KJA46" s="656"/>
      <c r="KJB46" s="658"/>
      <c r="KJC46" s="656"/>
      <c r="KJD46" s="658"/>
      <c r="KJG46" s="288"/>
      <c r="KJH46" s="312"/>
      <c r="KJI46" s="482"/>
      <c r="KJJ46" s="312"/>
      <c r="KJK46" s="656"/>
      <c r="KJL46" s="657"/>
      <c r="KJM46" s="656"/>
      <c r="KJN46" s="657"/>
      <c r="KJO46" s="656"/>
      <c r="KJP46" s="658"/>
      <c r="KJQ46" s="656"/>
      <c r="KJR46" s="658"/>
      <c r="KJU46" s="288"/>
      <c r="KJV46" s="312"/>
      <c r="KJW46" s="482"/>
      <c r="KJX46" s="312"/>
      <c r="KJY46" s="656"/>
      <c r="KJZ46" s="657"/>
      <c r="KKA46" s="656"/>
      <c r="KKB46" s="657"/>
      <c r="KKC46" s="656"/>
      <c r="KKD46" s="658"/>
      <c r="KKE46" s="656"/>
      <c r="KKF46" s="658"/>
      <c r="KKI46" s="288"/>
      <c r="KKJ46" s="312"/>
      <c r="KKK46" s="482"/>
      <c r="KKL46" s="312"/>
      <c r="KKM46" s="656"/>
      <c r="KKN46" s="657"/>
      <c r="KKO46" s="656"/>
      <c r="KKP46" s="657"/>
      <c r="KKQ46" s="656"/>
      <c r="KKR46" s="658"/>
      <c r="KKS46" s="656"/>
      <c r="KKT46" s="658"/>
      <c r="KKW46" s="288"/>
      <c r="KKX46" s="312"/>
      <c r="KKY46" s="482"/>
      <c r="KKZ46" s="312"/>
      <c r="KLA46" s="656"/>
      <c r="KLB46" s="657"/>
      <c r="KLC46" s="656"/>
      <c r="KLD46" s="657"/>
      <c r="KLE46" s="656"/>
      <c r="KLF46" s="658"/>
      <c r="KLG46" s="656"/>
      <c r="KLH46" s="658"/>
      <c r="KLK46" s="288"/>
      <c r="KLL46" s="312"/>
      <c r="KLM46" s="482"/>
      <c r="KLN46" s="312"/>
      <c r="KLO46" s="656"/>
      <c r="KLP46" s="657"/>
      <c r="KLQ46" s="656"/>
      <c r="KLR46" s="657"/>
      <c r="KLS46" s="656"/>
      <c r="KLT46" s="658"/>
      <c r="KLU46" s="656"/>
      <c r="KLV46" s="658"/>
      <c r="KLY46" s="288"/>
      <c r="KLZ46" s="312"/>
      <c r="KMA46" s="482"/>
      <c r="KMB46" s="312"/>
      <c r="KMC46" s="656"/>
      <c r="KMD46" s="657"/>
      <c r="KME46" s="656"/>
      <c r="KMF46" s="657"/>
      <c r="KMG46" s="656"/>
      <c r="KMH46" s="658"/>
      <c r="KMI46" s="656"/>
      <c r="KMJ46" s="658"/>
      <c r="KMM46" s="288"/>
      <c r="KMN46" s="312"/>
      <c r="KMO46" s="482"/>
      <c r="KMP46" s="312"/>
      <c r="KMQ46" s="656"/>
      <c r="KMR46" s="657"/>
      <c r="KMS46" s="656"/>
      <c r="KMT46" s="657"/>
      <c r="KMU46" s="656"/>
      <c r="KMV46" s="658"/>
      <c r="KMW46" s="656"/>
      <c r="KMX46" s="658"/>
      <c r="KNA46" s="288"/>
      <c r="KNB46" s="312"/>
      <c r="KNC46" s="482"/>
      <c r="KND46" s="312"/>
      <c r="KNE46" s="656"/>
      <c r="KNF46" s="657"/>
      <c r="KNG46" s="656"/>
      <c r="KNH46" s="657"/>
      <c r="KNI46" s="656"/>
      <c r="KNJ46" s="658"/>
      <c r="KNK46" s="656"/>
      <c r="KNL46" s="658"/>
      <c r="KNO46" s="288"/>
      <c r="KNP46" s="312"/>
      <c r="KNQ46" s="482"/>
      <c r="KNR46" s="312"/>
      <c r="KNS46" s="656"/>
      <c r="KNT46" s="657"/>
      <c r="KNU46" s="656"/>
      <c r="KNV46" s="657"/>
      <c r="KNW46" s="656"/>
      <c r="KNX46" s="658"/>
      <c r="KNY46" s="656"/>
      <c r="KNZ46" s="658"/>
      <c r="KOC46" s="288"/>
      <c r="KOD46" s="312"/>
      <c r="KOE46" s="482"/>
      <c r="KOF46" s="312"/>
      <c r="KOG46" s="656"/>
      <c r="KOH46" s="657"/>
      <c r="KOI46" s="656"/>
      <c r="KOJ46" s="657"/>
      <c r="KOK46" s="656"/>
      <c r="KOL46" s="658"/>
      <c r="KOM46" s="656"/>
      <c r="KON46" s="658"/>
      <c r="KOQ46" s="288"/>
      <c r="KOR46" s="312"/>
      <c r="KOS46" s="482"/>
      <c r="KOT46" s="312"/>
      <c r="KOU46" s="656"/>
      <c r="KOV46" s="657"/>
      <c r="KOW46" s="656"/>
      <c r="KOX46" s="657"/>
      <c r="KOY46" s="656"/>
      <c r="KOZ46" s="658"/>
      <c r="KPA46" s="656"/>
      <c r="KPB46" s="658"/>
      <c r="KPE46" s="288"/>
      <c r="KPF46" s="312"/>
      <c r="KPG46" s="482"/>
      <c r="KPH46" s="312"/>
      <c r="KPI46" s="656"/>
      <c r="KPJ46" s="657"/>
      <c r="KPK46" s="656"/>
      <c r="KPL46" s="657"/>
      <c r="KPM46" s="656"/>
      <c r="KPN46" s="658"/>
      <c r="KPO46" s="656"/>
      <c r="KPP46" s="658"/>
      <c r="KPS46" s="288"/>
      <c r="KPT46" s="312"/>
      <c r="KPU46" s="482"/>
      <c r="KPV46" s="312"/>
      <c r="KPW46" s="656"/>
      <c r="KPX46" s="657"/>
      <c r="KPY46" s="656"/>
      <c r="KPZ46" s="657"/>
      <c r="KQA46" s="656"/>
      <c r="KQB46" s="658"/>
      <c r="KQC46" s="656"/>
      <c r="KQD46" s="658"/>
      <c r="KQG46" s="288"/>
      <c r="KQH46" s="312"/>
      <c r="KQI46" s="482"/>
      <c r="KQJ46" s="312"/>
      <c r="KQK46" s="656"/>
      <c r="KQL46" s="657"/>
      <c r="KQM46" s="656"/>
      <c r="KQN46" s="657"/>
      <c r="KQO46" s="656"/>
      <c r="KQP46" s="658"/>
      <c r="KQQ46" s="656"/>
      <c r="KQR46" s="658"/>
      <c r="KQU46" s="288"/>
      <c r="KQV46" s="312"/>
      <c r="KQW46" s="482"/>
      <c r="KQX46" s="312"/>
      <c r="KQY46" s="656"/>
      <c r="KQZ46" s="657"/>
      <c r="KRA46" s="656"/>
      <c r="KRB46" s="657"/>
      <c r="KRC46" s="656"/>
      <c r="KRD46" s="658"/>
      <c r="KRE46" s="656"/>
      <c r="KRF46" s="658"/>
      <c r="KRI46" s="288"/>
      <c r="KRJ46" s="312"/>
      <c r="KRK46" s="482"/>
      <c r="KRL46" s="312"/>
      <c r="KRM46" s="656"/>
      <c r="KRN46" s="657"/>
      <c r="KRO46" s="656"/>
      <c r="KRP46" s="657"/>
      <c r="KRQ46" s="656"/>
      <c r="KRR46" s="658"/>
      <c r="KRS46" s="656"/>
      <c r="KRT46" s="658"/>
      <c r="KRW46" s="288"/>
      <c r="KRX46" s="312"/>
      <c r="KRY46" s="482"/>
      <c r="KRZ46" s="312"/>
      <c r="KSA46" s="656"/>
      <c r="KSB46" s="657"/>
      <c r="KSC46" s="656"/>
      <c r="KSD46" s="657"/>
      <c r="KSE46" s="656"/>
      <c r="KSF46" s="658"/>
      <c r="KSG46" s="656"/>
      <c r="KSH46" s="658"/>
      <c r="KSK46" s="288"/>
      <c r="KSL46" s="312"/>
      <c r="KSM46" s="482"/>
      <c r="KSN46" s="312"/>
      <c r="KSO46" s="656"/>
      <c r="KSP46" s="657"/>
      <c r="KSQ46" s="656"/>
      <c r="KSR46" s="657"/>
      <c r="KSS46" s="656"/>
      <c r="KST46" s="658"/>
      <c r="KSU46" s="656"/>
      <c r="KSV46" s="658"/>
      <c r="KSY46" s="288"/>
      <c r="KSZ46" s="312"/>
      <c r="KTA46" s="482"/>
      <c r="KTB46" s="312"/>
      <c r="KTC46" s="656"/>
      <c r="KTD46" s="657"/>
      <c r="KTE46" s="656"/>
      <c r="KTF46" s="657"/>
      <c r="KTG46" s="656"/>
      <c r="KTH46" s="658"/>
      <c r="KTI46" s="656"/>
      <c r="KTJ46" s="658"/>
      <c r="KTM46" s="288"/>
      <c r="KTN46" s="312"/>
      <c r="KTO46" s="482"/>
      <c r="KTP46" s="312"/>
      <c r="KTQ46" s="656"/>
      <c r="KTR46" s="657"/>
      <c r="KTS46" s="656"/>
      <c r="KTT46" s="657"/>
      <c r="KTU46" s="656"/>
      <c r="KTV46" s="658"/>
      <c r="KTW46" s="656"/>
      <c r="KTX46" s="658"/>
      <c r="KUA46" s="288"/>
      <c r="KUB46" s="312"/>
      <c r="KUC46" s="482"/>
      <c r="KUD46" s="312"/>
      <c r="KUE46" s="656"/>
      <c r="KUF46" s="657"/>
      <c r="KUG46" s="656"/>
      <c r="KUH46" s="657"/>
      <c r="KUI46" s="656"/>
      <c r="KUJ46" s="658"/>
      <c r="KUK46" s="656"/>
      <c r="KUL46" s="658"/>
      <c r="KUO46" s="288"/>
      <c r="KUP46" s="312"/>
      <c r="KUQ46" s="482"/>
      <c r="KUR46" s="312"/>
      <c r="KUS46" s="656"/>
      <c r="KUT46" s="657"/>
      <c r="KUU46" s="656"/>
      <c r="KUV46" s="657"/>
      <c r="KUW46" s="656"/>
      <c r="KUX46" s="658"/>
      <c r="KUY46" s="656"/>
      <c r="KUZ46" s="658"/>
      <c r="KVC46" s="288"/>
      <c r="KVD46" s="312"/>
      <c r="KVE46" s="482"/>
      <c r="KVF46" s="312"/>
      <c r="KVG46" s="656"/>
      <c r="KVH46" s="657"/>
      <c r="KVI46" s="656"/>
      <c r="KVJ46" s="657"/>
      <c r="KVK46" s="656"/>
      <c r="KVL46" s="658"/>
      <c r="KVM46" s="656"/>
      <c r="KVN46" s="658"/>
      <c r="KVQ46" s="288"/>
      <c r="KVR46" s="312"/>
      <c r="KVS46" s="482"/>
      <c r="KVT46" s="312"/>
      <c r="KVU46" s="656"/>
      <c r="KVV46" s="657"/>
      <c r="KVW46" s="656"/>
      <c r="KVX46" s="657"/>
      <c r="KVY46" s="656"/>
      <c r="KVZ46" s="658"/>
      <c r="KWA46" s="656"/>
      <c r="KWB46" s="658"/>
      <c r="KWE46" s="288"/>
      <c r="KWF46" s="312"/>
      <c r="KWG46" s="482"/>
      <c r="KWH46" s="312"/>
      <c r="KWI46" s="656"/>
      <c r="KWJ46" s="657"/>
      <c r="KWK46" s="656"/>
      <c r="KWL46" s="657"/>
      <c r="KWM46" s="656"/>
      <c r="KWN46" s="658"/>
      <c r="KWO46" s="656"/>
      <c r="KWP46" s="658"/>
      <c r="KWS46" s="288"/>
      <c r="KWT46" s="312"/>
      <c r="KWU46" s="482"/>
      <c r="KWV46" s="312"/>
      <c r="KWW46" s="656"/>
      <c r="KWX46" s="657"/>
      <c r="KWY46" s="656"/>
      <c r="KWZ46" s="657"/>
      <c r="KXA46" s="656"/>
      <c r="KXB46" s="658"/>
      <c r="KXC46" s="656"/>
      <c r="KXD46" s="658"/>
      <c r="KXG46" s="288"/>
      <c r="KXH46" s="312"/>
      <c r="KXI46" s="482"/>
      <c r="KXJ46" s="312"/>
      <c r="KXK46" s="656"/>
      <c r="KXL46" s="657"/>
      <c r="KXM46" s="656"/>
      <c r="KXN46" s="657"/>
      <c r="KXO46" s="656"/>
      <c r="KXP46" s="658"/>
      <c r="KXQ46" s="656"/>
      <c r="KXR46" s="658"/>
      <c r="KXU46" s="288"/>
      <c r="KXV46" s="312"/>
      <c r="KXW46" s="482"/>
      <c r="KXX46" s="312"/>
      <c r="KXY46" s="656"/>
      <c r="KXZ46" s="657"/>
      <c r="KYA46" s="656"/>
      <c r="KYB46" s="657"/>
      <c r="KYC46" s="656"/>
      <c r="KYD46" s="658"/>
      <c r="KYE46" s="656"/>
      <c r="KYF46" s="658"/>
      <c r="KYI46" s="288"/>
      <c r="KYJ46" s="312"/>
      <c r="KYK46" s="482"/>
      <c r="KYL46" s="312"/>
      <c r="KYM46" s="656"/>
      <c r="KYN46" s="657"/>
      <c r="KYO46" s="656"/>
      <c r="KYP46" s="657"/>
      <c r="KYQ46" s="656"/>
      <c r="KYR46" s="658"/>
      <c r="KYS46" s="656"/>
      <c r="KYT46" s="658"/>
      <c r="KYW46" s="288"/>
      <c r="KYX46" s="312"/>
      <c r="KYY46" s="482"/>
      <c r="KYZ46" s="312"/>
      <c r="KZA46" s="656"/>
      <c r="KZB46" s="657"/>
      <c r="KZC46" s="656"/>
      <c r="KZD46" s="657"/>
      <c r="KZE46" s="656"/>
      <c r="KZF46" s="658"/>
      <c r="KZG46" s="656"/>
      <c r="KZH46" s="658"/>
      <c r="KZK46" s="288"/>
      <c r="KZL46" s="312"/>
      <c r="KZM46" s="482"/>
      <c r="KZN46" s="312"/>
      <c r="KZO46" s="656"/>
      <c r="KZP46" s="657"/>
      <c r="KZQ46" s="656"/>
      <c r="KZR46" s="657"/>
      <c r="KZS46" s="656"/>
      <c r="KZT46" s="658"/>
      <c r="KZU46" s="656"/>
      <c r="KZV46" s="658"/>
      <c r="KZY46" s="288"/>
      <c r="KZZ46" s="312"/>
      <c r="LAA46" s="482"/>
      <c r="LAB46" s="312"/>
      <c r="LAC46" s="656"/>
      <c r="LAD46" s="657"/>
      <c r="LAE46" s="656"/>
      <c r="LAF46" s="657"/>
      <c r="LAG46" s="656"/>
      <c r="LAH46" s="658"/>
      <c r="LAI46" s="656"/>
      <c r="LAJ46" s="658"/>
      <c r="LAM46" s="288"/>
      <c r="LAN46" s="312"/>
      <c r="LAO46" s="482"/>
      <c r="LAP46" s="312"/>
      <c r="LAQ46" s="656"/>
      <c r="LAR46" s="657"/>
      <c r="LAS46" s="656"/>
      <c r="LAT46" s="657"/>
      <c r="LAU46" s="656"/>
      <c r="LAV46" s="658"/>
      <c r="LAW46" s="656"/>
      <c r="LAX46" s="658"/>
      <c r="LBA46" s="288"/>
      <c r="LBB46" s="312"/>
      <c r="LBC46" s="482"/>
      <c r="LBD46" s="312"/>
      <c r="LBE46" s="656"/>
      <c r="LBF46" s="657"/>
      <c r="LBG46" s="656"/>
      <c r="LBH46" s="657"/>
      <c r="LBI46" s="656"/>
      <c r="LBJ46" s="658"/>
      <c r="LBK46" s="656"/>
      <c r="LBL46" s="658"/>
      <c r="LBO46" s="288"/>
      <c r="LBP46" s="312"/>
      <c r="LBQ46" s="482"/>
      <c r="LBR46" s="312"/>
      <c r="LBS46" s="656"/>
      <c r="LBT46" s="657"/>
      <c r="LBU46" s="656"/>
      <c r="LBV46" s="657"/>
      <c r="LBW46" s="656"/>
      <c r="LBX46" s="658"/>
      <c r="LBY46" s="656"/>
      <c r="LBZ46" s="658"/>
      <c r="LCC46" s="288"/>
      <c r="LCD46" s="312"/>
      <c r="LCE46" s="482"/>
      <c r="LCF46" s="312"/>
      <c r="LCG46" s="656"/>
      <c r="LCH46" s="657"/>
      <c r="LCI46" s="656"/>
      <c r="LCJ46" s="657"/>
      <c r="LCK46" s="656"/>
      <c r="LCL46" s="658"/>
      <c r="LCM46" s="656"/>
      <c r="LCN46" s="658"/>
      <c r="LCQ46" s="288"/>
      <c r="LCR46" s="312"/>
      <c r="LCS46" s="482"/>
      <c r="LCT46" s="312"/>
      <c r="LCU46" s="656"/>
      <c r="LCV46" s="657"/>
      <c r="LCW46" s="656"/>
      <c r="LCX46" s="657"/>
      <c r="LCY46" s="656"/>
      <c r="LCZ46" s="658"/>
      <c r="LDA46" s="656"/>
      <c r="LDB46" s="658"/>
      <c r="LDE46" s="288"/>
      <c r="LDF46" s="312"/>
      <c r="LDG46" s="482"/>
      <c r="LDH46" s="312"/>
      <c r="LDI46" s="656"/>
      <c r="LDJ46" s="657"/>
      <c r="LDK46" s="656"/>
      <c r="LDL46" s="657"/>
      <c r="LDM46" s="656"/>
      <c r="LDN46" s="658"/>
      <c r="LDO46" s="656"/>
      <c r="LDP46" s="658"/>
      <c r="LDS46" s="288"/>
      <c r="LDT46" s="312"/>
      <c r="LDU46" s="482"/>
      <c r="LDV46" s="312"/>
      <c r="LDW46" s="656"/>
      <c r="LDX46" s="657"/>
      <c r="LDY46" s="656"/>
      <c r="LDZ46" s="657"/>
      <c r="LEA46" s="656"/>
      <c r="LEB46" s="658"/>
      <c r="LEC46" s="656"/>
      <c r="LED46" s="658"/>
      <c r="LEG46" s="288"/>
      <c r="LEH46" s="312"/>
      <c r="LEI46" s="482"/>
      <c r="LEJ46" s="312"/>
      <c r="LEK46" s="656"/>
      <c r="LEL46" s="657"/>
      <c r="LEM46" s="656"/>
      <c r="LEN46" s="657"/>
      <c r="LEO46" s="656"/>
      <c r="LEP46" s="658"/>
      <c r="LEQ46" s="656"/>
      <c r="LER46" s="658"/>
      <c r="LEU46" s="288"/>
      <c r="LEV46" s="312"/>
      <c r="LEW46" s="482"/>
      <c r="LEX46" s="312"/>
      <c r="LEY46" s="656"/>
      <c r="LEZ46" s="657"/>
      <c r="LFA46" s="656"/>
      <c r="LFB46" s="657"/>
      <c r="LFC46" s="656"/>
      <c r="LFD46" s="658"/>
      <c r="LFE46" s="656"/>
      <c r="LFF46" s="658"/>
      <c r="LFI46" s="288"/>
      <c r="LFJ46" s="312"/>
      <c r="LFK46" s="482"/>
      <c r="LFL46" s="312"/>
      <c r="LFM46" s="656"/>
      <c r="LFN46" s="657"/>
      <c r="LFO46" s="656"/>
      <c r="LFP46" s="657"/>
      <c r="LFQ46" s="656"/>
      <c r="LFR46" s="658"/>
      <c r="LFS46" s="656"/>
      <c r="LFT46" s="658"/>
      <c r="LFW46" s="288"/>
      <c r="LFX46" s="312"/>
      <c r="LFY46" s="482"/>
      <c r="LFZ46" s="312"/>
      <c r="LGA46" s="656"/>
      <c r="LGB46" s="657"/>
      <c r="LGC46" s="656"/>
      <c r="LGD46" s="657"/>
      <c r="LGE46" s="656"/>
      <c r="LGF46" s="658"/>
      <c r="LGG46" s="656"/>
      <c r="LGH46" s="658"/>
      <c r="LGK46" s="288"/>
      <c r="LGL46" s="312"/>
      <c r="LGM46" s="482"/>
      <c r="LGN46" s="312"/>
      <c r="LGO46" s="656"/>
      <c r="LGP46" s="657"/>
      <c r="LGQ46" s="656"/>
      <c r="LGR46" s="657"/>
      <c r="LGS46" s="656"/>
      <c r="LGT46" s="658"/>
      <c r="LGU46" s="656"/>
      <c r="LGV46" s="658"/>
      <c r="LGY46" s="288"/>
      <c r="LGZ46" s="312"/>
      <c r="LHA46" s="482"/>
      <c r="LHB46" s="312"/>
      <c r="LHC46" s="656"/>
      <c r="LHD46" s="657"/>
      <c r="LHE46" s="656"/>
      <c r="LHF46" s="657"/>
      <c r="LHG46" s="656"/>
      <c r="LHH46" s="658"/>
      <c r="LHI46" s="656"/>
      <c r="LHJ46" s="658"/>
      <c r="LHM46" s="288"/>
      <c r="LHN46" s="312"/>
      <c r="LHO46" s="482"/>
      <c r="LHP46" s="312"/>
      <c r="LHQ46" s="656"/>
      <c r="LHR46" s="657"/>
      <c r="LHS46" s="656"/>
      <c r="LHT46" s="657"/>
      <c r="LHU46" s="656"/>
      <c r="LHV46" s="658"/>
      <c r="LHW46" s="656"/>
      <c r="LHX46" s="658"/>
      <c r="LIA46" s="288"/>
      <c r="LIB46" s="312"/>
      <c r="LIC46" s="482"/>
      <c r="LID46" s="312"/>
      <c r="LIE46" s="656"/>
      <c r="LIF46" s="657"/>
      <c r="LIG46" s="656"/>
      <c r="LIH46" s="657"/>
      <c r="LII46" s="656"/>
      <c r="LIJ46" s="658"/>
      <c r="LIK46" s="656"/>
      <c r="LIL46" s="658"/>
      <c r="LIO46" s="288"/>
      <c r="LIP46" s="312"/>
      <c r="LIQ46" s="482"/>
      <c r="LIR46" s="312"/>
      <c r="LIS46" s="656"/>
      <c r="LIT46" s="657"/>
      <c r="LIU46" s="656"/>
      <c r="LIV46" s="657"/>
      <c r="LIW46" s="656"/>
      <c r="LIX46" s="658"/>
      <c r="LIY46" s="656"/>
      <c r="LIZ46" s="658"/>
      <c r="LJC46" s="288"/>
      <c r="LJD46" s="312"/>
      <c r="LJE46" s="482"/>
      <c r="LJF46" s="312"/>
      <c r="LJG46" s="656"/>
      <c r="LJH46" s="657"/>
      <c r="LJI46" s="656"/>
      <c r="LJJ46" s="657"/>
      <c r="LJK46" s="656"/>
      <c r="LJL46" s="658"/>
      <c r="LJM46" s="656"/>
      <c r="LJN46" s="658"/>
      <c r="LJQ46" s="288"/>
      <c r="LJR46" s="312"/>
      <c r="LJS46" s="482"/>
      <c r="LJT46" s="312"/>
      <c r="LJU46" s="656"/>
      <c r="LJV46" s="657"/>
      <c r="LJW46" s="656"/>
      <c r="LJX46" s="657"/>
      <c r="LJY46" s="656"/>
      <c r="LJZ46" s="658"/>
      <c r="LKA46" s="656"/>
      <c r="LKB46" s="658"/>
      <c r="LKE46" s="288"/>
      <c r="LKF46" s="312"/>
      <c r="LKG46" s="482"/>
      <c r="LKH46" s="312"/>
      <c r="LKI46" s="656"/>
      <c r="LKJ46" s="657"/>
      <c r="LKK46" s="656"/>
      <c r="LKL46" s="657"/>
      <c r="LKM46" s="656"/>
      <c r="LKN46" s="658"/>
      <c r="LKO46" s="656"/>
      <c r="LKP46" s="658"/>
      <c r="LKS46" s="288"/>
      <c r="LKT46" s="312"/>
      <c r="LKU46" s="482"/>
      <c r="LKV46" s="312"/>
      <c r="LKW46" s="656"/>
      <c r="LKX46" s="657"/>
      <c r="LKY46" s="656"/>
      <c r="LKZ46" s="657"/>
      <c r="LLA46" s="656"/>
      <c r="LLB46" s="658"/>
      <c r="LLC46" s="656"/>
      <c r="LLD46" s="658"/>
      <c r="LLG46" s="288"/>
      <c r="LLH46" s="312"/>
      <c r="LLI46" s="482"/>
      <c r="LLJ46" s="312"/>
      <c r="LLK46" s="656"/>
      <c r="LLL46" s="657"/>
      <c r="LLM46" s="656"/>
      <c r="LLN46" s="657"/>
      <c r="LLO46" s="656"/>
      <c r="LLP46" s="658"/>
      <c r="LLQ46" s="656"/>
      <c r="LLR46" s="658"/>
      <c r="LLU46" s="288"/>
      <c r="LLV46" s="312"/>
      <c r="LLW46" s="482"/>
      <c r="LLX46" s="312"/>
      <c r="LLY46" s="656"/>
      <c r="LLZ46" s="657"/>
      <c r="LMA46" s="656"/>
      <c r="LMB46" s="657"/>
      <c r="LMC46" s="656"/>
      <c r="LMD46" s="658"/>
      <c r="LME46" s="656"/>
      <c r="LMF46" s="658"/>
      <c r="LMI46" s="288"/>
      <c r="LMJ46" s="312"/>
      <c r="LMK46" s="482"/>
      <c r="LML46" s="312"/>
      <c r="LMM46" s="656"/>
      <c r="LMN46" s="657"/>
      <c r="LMO46" s="656"/>
      <c r="LMP46" s="657"/>
      <c r="LMQ46" s="656"/>
      <c r="LMR46" s="658"/>
      <c r="LMS46" s="656"/>
      <c r="LMT46" s="658"/>
      <c r="LMW46" s="288"/>
      <c r="LMX46" s="312"/>
      <c r="LMY46" s="482"/>
      <c r="LMZ46" s="312"/>
      <c r="LNA46" s="656"/>
      <c r="LNB46" s="657"/>
      <c r="LNC46" s="656"/>
      <c r="LND46" s="657"/>
      <c r="LNE46" s="656"/>
      <c r="LNF46" s="658"/>
      <c r="LNG46" s="656"/>
      <c r="LNH46" s="658"/>
      <c r="LNK46" s="288"/>
      <c r="LNL46" s="312"/>
      <c r="LNM46" s="482"/>
      <c r="LNN46" s="312"/>
      <c r="LNO46" s="656"/>
      <c r="LNP46" s="657"/>
      <c r="LNQ46" s="656"/>
      <c r="LNR46" s="657"/>
      <c r="LNS46" s="656"/>
      <c r="LNT46" s="658"/>
      <c r="LNU46" s="656"/>
      <c r="LNV46" s="658"/>
      <c r="LNY46" s="288"/>
      <c r="LNZ46" s="312"/>
      <c r="LOA46" s="482"/>
      <c r="LOB46" s="312"/>
      <c r="LOC46" s="656"/>
      <c r="LOD46" s="657"/>
      <c r="LOE46" s="656"/>
      <c r="LOF46" s="657"/>
      <c r="LOG46" s="656"/>
      <c r="LOH46" s="658"/>
      <c r="LOI46" s="656"/>
      <c r="LOJ46" s="658"/>
      <c r="LOM46" s="288"/>
      <c r="LON46" s="312"/>
      <c r="LOO46" s="482"/>
      <c r="LOP46" s="312"/>
      <c r="LOQ46" s="656"/>
      <c r="LOR46" s="657"/>
      <c r="LOS46" s="656"/>
      <c r="LOT46" s="657"/>
      <c r="LOU46" s="656"/>
      <c r="LOV46" s="658"/>
      <c r="LOW46" s="656"/>
      <c r="LOX46" s="658"/>
      <c r="LPA46" s="288"/>
      <c r="LPB46" s="312"/>
      <c r="LPC46" s="482"/>
      <c r="LPD46" s="312"/>
      <c r="LPE46" s="656"/>
      <c r="LPF46" s="657"/>
      <c r="LPG46" s="656"/>
      <c r="LPH46" s="657"/>
      <c r="LPI46" s="656"/>
      <c r="LPJ46" s="658"/>
      <c r="LPK46" s="656"/>
      <c r="LPL46" s="658"/>
      <c r="LPO46" s="288"/>
      <c r="LPP46" s="312"/>
      <c r="LPQ46" s="482"/>
      <c r="LPR46" s="312"/>
      <c r="LPS46" s="656"/>
      <c r="LPT46" s="657"/>
      <c r="LPU46" s="656"/>
      <c r="LPV46" s="657"/>
      <c r="LPW46" s="656"/>
      <c r="LPX46" s="658"/>
      <c r="LPY46" s="656"/>
      <c r="LPZ46" s="658"/>
      <c r="LQC46" s="288"/>
      <c r="LQD46" s="312"/>
      <c r="LQE46" s="482"/>
      <c r="LQF46" s="312"/>
      <c r="LQG46" s="656"/>
      <c r="LQH46" s="657"/>
      <c r="LQI46" s="656"/>
      <c r="LQJ46" s="657"/>
      <c r="LQK46" s="656"/>
      <c r="LQL46" s="658"/>
      <c r="LQM46" s="656"/>
      <c r="LQN46" s="658"/>
      <c r="LQQ46" s="288"/>
      <c r="LQR46" s="312"/>
      <c r="LQS46" s="482"/>
      <c r="LQT46" s="312"/>
      <c r="LQU46" s="656"/>
      <c r="LQV46" s="657"/>
      <c r="LQW46" s="656"/>
      <c r="LQX46" s="657"/>
      <c r="LQY46" s="656"/>
      <c r="LQZ46" s="658"/>
      <c r="LRA46" s="656"/>
      <c r="LRB46" s="658"/>
      <c r="LRE46" s="288"/>
      <c r="LRF46" s="312"/>
      <c r="LRG46" s="482"/>
      <c r="LRH46" s="312"/>
      <c r="LRI46" s="656"/>
      <c r="LRJ46" s="657"/>
      <c r="LRK46" s="656"/>
      <c r="LRL46" s="657"/>
      <c r="LRM46" s="656"/>
      <c r="LRN46" s="658"/>
      <c r="LRO46" s="656"/>
      <c r="LRP46" s="658"/>
      <c r="LRS46" s="288"/>
      <c r="LRT46" s="312"/>
      <c r="LRU46" s="482"/>
      <c r="LRV46" s="312"/>
      <c r="LRW46" s="656"/>
      <c r="LRX46" s="657"/>
      <c r="LRY46" s="656"/>
      <c r="LRZ46" s="657"/>
      <c r="LSA46" s="656"/>
      <c r="LSB46" s="658"/>
      <c r="LSC46" s="656"/>
      <c r="LSD46" s="658"/>
      <c r="LSG46" s="288"/>
      <c r="LSH46" s="312"/>
      <c r="LSI46" s="482"/>
      <c r="LSJ46" s="312"/>
      <c r="LSK46" s="656"/>
      <c r="LSL46" s="657"/>
      <c r="LSM46" s="656"/>
      <c r="LSN46" s="657"/>
      <c r="LSO46" s="656"/>
      <c r="LSP46" s="658"/>
      <c r="LSQ46" s="656"/>
      <c r="LSR46" s="658"/>
      <c r="LSU46" s="288"/>
      <c r="LSV46" s="312"/>
      <c r="LSW46" s="482"/>
      <c r="LSX46" s="312"/>
      <c r="LSY46" s="656"/>
      <c r="LSZ46" s="657"/>
      <c r="LTA46" s="656"/>
      <c r="LTB46" s="657"/>
      <c r="LTC46" s="656"/>
      <c r="LTD46" s="658"/>
      <c r="LTE46" s="656"/>
      <c r="LTF46" s="658"/>
      <c r="LTI46" s="288"/>
      <c r="LTJ46" s="312"/>
      <c r="LTK46" s="482"/>
      <c r="LTL46" s="312"/>
      <c r="LTM46" s="656"/>
      <c r="LTN46" s="657"/>
      <c r="LTO46" s="656"/>
      <c r="LTP46" s="657"/>
      <c r="LTQ46" s="656"/>
      <c r="LTR46" s="658"/>
      <c r="LTS46" s="656"/>
      <c r="LTT46" s="658"/>
      <c r="LTW46" s="288"/>
      <c r="LTX46" s="312"/>
      <c r="LTY46" s="482"/>
      <c r="LTZ46" s="312"/>
      <c r="LUA46" s="656"/>
      <c r="LUB46" s="657"/>
      <c r="LUC46" s="656"/>
      <c r="LUD46" s="657"/>
      <c r="LUE46" s="656"/>
      <c r="LUF46" s="658"/>
      <c r="LUG46" s="656"/>
      <c r="LUH46" s="658"/>
      <c r="LUK46" s="288"/>
      <c r="LUL46" s="312"/>
      <c r="LUM46" s="482"/>
      <c r="LUN46" s="312"/>
      <c r="LUO46" s="656"/>
      <c r="LUP46" s="657"/>
      <c r="LUQ46" s="656"/>
      <c r="LUR46" s="657"/>
      <c r="LUS46" s="656"/>
      <c r="LUT46" s="658"/>
      <c r="LUU46" s="656"/>
      <c r="LUV46" s="658"/>
      <c r="LUY46" s="288"/>
      <c r="LUZ46" s="312"/>
      <c r="LVA46" s="482"/>
      <c r="LVB46" s="312"/>
      <c r="LVC46" s="656"/>
      <c r="LVD46" s="657"/>
      <c r="LVE46" s="656"/>
      <c r="LVF46" s="657"/>
      <c r="LVG46" s="656"/>
      <c r="LVH46" s="658"/>
      <c r="LVI46" s="656"/>
      <c r="LVJ46" s="658"/>
      <c r="LVM46" s="288"/>
      <c r="LVN46" s="312"/>
      <c r="LVO46" s="482"/>
      <c r="LVP46" s="312"/>
      <c r="LVQ46" s="656"/>
      <c r="LVR46" s="657"/>
      <c r="LVS46" s="656"/>
      <c r="LVT46" s="657"/>
      <c r="LVU46" s="656"/>
      <c r="LVV46" s="658"/>
      <c r="LVW46" s="656"/>
      <c r="LVX46" s="658"/>
      <c r="LWA46" s="288"/>
      <c r="LWB46" s="312"/>
      <c r="LWC46" s="482"/>
      <c r="LWD46" s="312"/>
      <c r="LWE46" s="656"/>
      <c r="LWF46" s="657"/>
      <c r="LWG46" s="656"/>
      <c r="LWH46" s="657"/>
      <c r="LWI46" s="656"/>
      <c r="LWJ46" s="658"/>
      <c r="LWK46" s="656"/>
      <c r="LWL46" s="658"/>
      <c r="LWO46" s="288"/>
      <c r="LWP46" s="312"/>
      <c r="LWQ46" s="482"/>
      <c r="LWR46" s="312"/>
      <c r="LWS46" s="656"/>
      <c r="LWT46" s="657"/>
      <c r="LWU46" s="656"/>
      <c r="LWV46" s="657"/>
      <c r="LWW46" s="656"/>
      <c r="LWX46" s="658"/>
      <c r="LWY46" s="656"/>
      <c r="LWZ46" s="658"/>
      <c r="LXC46" s="288"/>
      <c r="LXD46" s="312"/>
      <c r="LXE46" s="482"/>
      <c r="LXF46" s="312"/>
      <c r="LXG46" s="656"/>
      <c r="LXH46" s="657"/>
      <c r="LXI46" s="656"/>
      <c r="LXJ46" s="657"/>
      <c r="LXK46" s="656"/>
      <c r="LXL46" s="658"/>
      <c r="LXM46" s="656"/>
      <c r="LXN46" s="658"/>
      <c r="LXQ46" s="288"/>
      <c r="LXR46" s="312"/>
      <c r="LXS46" s="482"/>
      <c r="LXT46" s="312"/>
      <c r="LXU46" s="656"/>
      <c r="LXV46" s="657"/>
      <c r="LXW46" s="656"/>
      <c r="LXX46" s="657"/>
      <c r="LXY46" s="656"/>
      <c r="LXZ46" s="658"/>
      <c r="LYA46" s="656"/>
      <c r="LYB46" s="658"/>
      <c r="LYE46" s="288"/>
      <c r="LYF46" s="312"/>
      <c r="LYG46" s="482"/>
      <c r="LYH46" s="312"/>
      <c r="LYI46" s="656"/>
      <c r="LYJ46" s="657"/>
      <c r="LYK46" s="656"/>
      <c r="LYL46" s="657"/>
      <c r="LYM46" s="656"/>
      <c r="LYN46" s="658"/>
      <c r="LYO46" s="656"/>
      <c r="LYP46" s="658"/>
      <c r="LYS46" s="288"/>
      <c r="LYT46" s="312"/>
      <c r="LYU46" s="482"/>
      <c r="LYV46" s="312"/>
      <c r="LYW46" s="656"/>
      <c r="LYX46" s="657"/>
      <c r="LYY46" s="656"/>
      <c r="LYZ46" s="657"/>
      <c r="LZA46" s="656"/>
      <c r="LZB46" s="658"/>
      <c r="LZC46" s="656"/>
      <c r="LZD46" s="658"/>
      <c r="LZG46" s="288"/>
      <c r="LZH46" s="312"/>
      <c r="LZI46" s="482"/>
      <c r="LZJ46" s="312"/>
      <c r="LZK46" s="656"/>
      <c r="LZL46" s="657"/>
      <c r="LZM46" s="656"/>
      <c r="LZN46" s="657"/>
      <c r="LZO46" s="656"/>
      <c r="LZP46" s="658"/>
      <c r="LZQ46" s="656"/>
      <c r="LZR46" s="658"/>
      <c r="LZU46" s="288"/>
      <c r="LZV46" s="312"/>
      <c r="LZW46" s="482"/>
      <c r="LZX46" s="312"/>
      <c r="LZY46" s="656"/>
      <c r="LZZ46" s="657"/>
      <c r="MAA46" s="656"/>
      <c r="MAB46" s="657"/>
      <c r="MAC46" s="656"/>
      <c r="MAD46" s="658"/>
      <c r="MAE46" s="656"/>
      <c r="MAF46" s="658"/>
      <c r="MAI46" s="288"/>
      <c r="MAJ46" s="312"/>
      <c r="MAK46" s="482"/>
      <c r="MAL46" s="312"/>
      <c r="MAM46" s="656"/>
      <c r="MAN46" s="657"/>
      <c r="MAO46" s="656"/>
      <c r="MAP46" s="657"/>
      <c r="MAQ46" s="656"/>
      <c r="MAR46" s="658"/>
      <c r="MAS46" s="656"/>
      <c r="MAT46" s="658"/>
      <c r="MAW46" s="288"/>
      <c r="MAX46" s="312"/>
      <c r="MAY46" s="482"/>
      <c r="MAZ46" s="312"/>
      <c r="MBA46" s="656"/>
      <c r="MBB46" s="657"/>
      <c r="MBC46" s="656"/>
      <c r="MBD46" s="657"/>
      <c r="MBE46" s="656"/>
      <c r="MBF46" s="658"/>
      <c r="MBG46" s="656"/>
      <c r="MBH46" s="658"/>
      <c r="MBK46" s="288"/>
      <c r="MBL46" s="312"/>
      <c r="MBM46" s="482"/>
      <c r="MBN46" s="312"/>
      <c r="MBO46" s="656"/>
      <c r="MBP46" s="657"/>
      <c r="MBQ46" s="656"/>
      <c r="MBR46" s="657"/>
      <c r="MBS46" s="656"/>
      <c r="MBT46" s="658"/>
      <c r="MBU46" s="656"/>
      <c r="MBV46" s="658"/>
      <c r="MBY46" s="288"/>
      <c r="MBZ46" s="312"/>
      <c r="MCA46" s="482"/>
      <c r="MCB46" s="312"/>
      <c r="MCC46" s="656"/>
      <c r="MCD46" s="657"/>
      <c r="MCE46" s="656"/>
      <c r="MCF46" s="657"/>
      <c r="MCG46" s="656"/>
      <c r="MCH46" s="658"/>
      <c r="MCI46" s="656"/>
      <c r="MCJ46" s="658"/>
      <c r="MCM46" s="288"/>
      <c r="MCN46" s="312"/>
      <c r="MCO46" s="482"/>
      <c r="MCP46" s="312"/>
      <c r="MCQ46" s="656"/>
      <c r="MCR46" s="657"/>
      <c r="MCS46" s="656"/>
      <c r="MCT46" s="657"/>
      <c r="MCU46" s="656"/>
      <c r="MCV46" s="658"/>
      <c r="MCW46" s="656"/>
      <c r="MCX46" s="658"/>
      <c r="MDA46" s="288"/>
      <c r="MDB46" s="312"/>
      <c r="MDC46" s="482"/>
      <c r="MDD46" s="312"/>
      <c r="MDE46" s="656"/>
      <c r="MDF46" s="657"/>
      <c r="MDG46" s="656"/>
      <c r="MDH46" s="657"/>
      <c r="MDI46" s="656"/>
      <c r="MDJ46" s="658"/>
      <c r="MDK46" s="656"/>
      <c r="MDL46" s="658"/>
      <c r="MDO46" s="288"/>
      <c r="MDP46" s="312"/>
      <c r="MDQ46" s="482"/>
      <c r="MDR46" s="312"/>
      <c r="MDS46" s="656"/>
      <c r="MDT46" s="657"/>
      <c r="MDU46" s="656"/>
      <c r="MDV46" s="657"/>
      <c r="MDW46" s="656"/>
      <c r="MDX46" s="658"/>
      <c r="MDY46" s="656"/>
      <c r="MDZ46" s="658"/>
      <c r="MEC46" s="288"/>
      <c r="MED46" s="312"/>
      <c r="MEE46" s="482"/>
      <c r="MEF46" s="312"/>
      <c r="MEG46" s="656"/>
      <c r="MEH46" s="657"/>
      <c r="MEI46" s="656"/>
      <c r="MEJ46" s="657"/>
      <c r="MEK46" s="656"/>
      <c r="MEL46" s="658"/>
      <c r="MEM46" s="656"/>
      <c r="MEN46" s="658"/>
      <c r="MEQ46" s="288"/>
      <c r="MER46" s="312"/>
      <c r="MES46" s="482"/>
      <c r="MET46" s="312"/>
      <c r="MEU46" s="656"/>
      <c r="MEV46" s="657"/>
      <c r="MEW46" s="656"/>
      <c r="MEX46" s="657"/>
      <c r="MEY46" s="656"/>
      <c r="MEZ46" s="658"/>
      <c r="MFA46" s="656"/>
      <c r="MFB46" s="658"/>
      <c r="MFE46" s="288"/>
      <c r="MFF46" s="312"/>
      <c r="MFG46" s="482"/>
      <c r="MFH46" s="312"/>
      <c r="MFI46" s="656"/>
      <c r="MFJ46" s="657"/>
      <c r="MFK46" s="656"/>
      <c r="MFL46" s="657"/>
      <c r="MFM46" s="656"/>
      <c r="MFN46" s="658"/>
      <c r="MFO46" s="656"/>
      <c r="MFP46" s="658"/>
      <c r="MFS46" s="288"/>
      <c r="MFT46" s="312"/>
      <c r="MFU46" s="482"/>
      <c r="MFV46" s="312"/>
      <c r="MFW46" s="656"/>
      <c r="MFX46" s="657"/>
      <c r="MFY46" s="656"/>
      <c r="MFZ46" s="657"/>
      <c r="MGA46" s="656"/>
      <c r="MGB46" s="658"/>
      <c r="MGC46" s="656"/>
      <c r="MGD46" s="658"/>
      <c r="MGG46" s="288"/>
      <c r="MGH46" s="312"/>
      <c r="MGI46" s="482"/>
      <c r="MGJ46" s="312"/>
      <c r="MGK46" s="656"/>
      <c r="MGL46" s="657"/>
      <c r="MGM46" s="656"/>
      <c r="MGN46" s="657"/>
      <c r="MGO46" s="656"/>
      <c r="MGP46" s="658"/>
      <c r="MGQ46" s="656"/>
      <c r="MGR46" s="658"/>
      <c r="MGU46" s="288"/>
      <c r="MGV46" s="312"/>
      <c r="MGW46" s="482"/>
      <c r="MGX46" s="312"/>
      <c r="MGY46" s="656"/>
      <c r="MGZ46" s="657"/>
      <c r="MHA46" s="656"/>
      <c r="MHB46" s="657"/>
      <c r="MHC46" s="656"/>
      <c r="MHD46" s="658"/>
      <c r="MHE46" s="656"/>
      <c r="MHF46" s="658"/>
      <c r="MHI46" s="288"/>
      <c r="MHJ46" s="312"/>
      <c r="MHK46" s="482"/>
      <c r="MHL46" s="312"/>
      <c r="MHM46" s="656"/>
      <c r="MHN46" s="657"/>
      <c r="MHO46" s="656"/>
      <c r="MHP46" s="657"/>
      <c r="MHQ46" s="656"/>
      <c r="MHR46" s="658"/>
      <c r="MHS46" s="656"/>
      <c r="MHT46" s="658"/>
      <c r="MHW46" s="288"/>
      <c r="MHX46" s="312"/>
      <c r="MHY46" s="482"/>
      <c r="MHZ46" s="312"/>
      <c r="MIA46" s="656"/>
      <c r="MIB46" s="657"/>
      <c r="MIC46" s="656"/>
      <c r="MID46" s="657"/>
      <c r="MIE46" s="656"/>
      <c r="MIF46" s="658"/>
      <c r="MIG46" s="656"/>
      <c r="MIH46" s="658"/>
      <c r="MIK46" s="288"/>
      <c r="MIL46" s="312"/>
      <c r="MIM46" s="482"/>
      <c r="MIN46" s="312"/>
      <c r="MIO46" s="656"/>
      <c r="MIP46" s="657"/>
      <c r="MIQ46" s="656"/>
      <c r="MIR46" s="657"/>
      <c r="MIS46" s="656"/>
      <c r="MIT46" s="658"/>
      <c r="MIU46" s="656"/>
      <c r="MIV46" s="658"/>
      <c r="MIY46" s="288"/>
      <c r="MIZ46" s="312"/>
      <c r="MJA46" s="482"/>
      <c r="MJB46" s="312"/>
      <c r="MJC46" s="656"/>
      <c r="MJD46" s="657"/>
      <c r="MJE46" s="656"/>
      <c r="MJF46" s="657"/>
      <c r="MJG46" s="656"/>
      <c r="MJH46" s="658"/>
      <c r="MJI46" s="656"/>
      <c r="MJJ46" s="658"/>
      <c r="MJM46" s="288"/>
      <c r="MJN46" s="312"/>
      <c r="MJO46" s="482"/>
      <c r="MJP46" s="312"/>
      <c r="MJQ46" s="656"/>
      <c r="MJR46" s="657"/>
      <c r="MJS46" s="656"/>
      <c r="MJT46" s="657"/>
      <c r="MJU46" s="656"/>
      <c r="MJV46" s="658"/>
      <c r="MJW46" s="656"/>
      <c r="MJX46" s="658"/>
      <c r="MKA46" s="288"/>
      <c r="MKB46" s="312"/>
      <c r="MKC46" s="482"/>
      <c r="MKD46" s="312"/>
      <c r="MKE46" s="656"/>
      <c r="MKF46" s="657"/>
      <c r="MKG46" s="656"/>
      <c r="MKH46" s="657"/>
      <c r="MKI46" s="656"/>
      <c r="MKJ46" s="658"/>
      <c r="MKK46" s="656"/>
      <c r="MKL46" s="658"/>
      <c r="MKO46" s="288"/>
      <c r="MKP46" s="312"/>
      <c r="MKQ46" s="482"/>
      <c r="MKR46" s="312"/>
      <c r="MKS46" s="656"/>
      <c r="MKT46" s="657"/>
      <c r="MKU46" s="656"/>
      <c r="MKV46" s="657"/>
      <c r="MKW46" s="656"/>
      <c r="MKX46" s="658"/>
      <c r="MKY46" s="656"/>
      <c r="MKZ46" s="658"/>
      <c r="MLC46" s="288"/>
      <c r="MLD46" s="312"/>
      <c r="MLE46" s="482"/>
      <c r="MLF46" s="312"/>
      <c r="MLG46" s="656"/>
      <c r="MLH46" s="657"/>
      <c r="MLI46" s="656"/>
      <c r="MLJ46" s="657"/>
      <c r="MLK46" s="656"/>
      <c r="MLL46" s="658"/>
      <c r="MLM46" s="656"/>
      <c r="MLN46" s="658"/>
      <c r="MLQ46" s="288"/>
      <c r="MLR46" s="312"/>
      <c r="MLS46" s="482"/>
      <c r="MLT46" s="312"/>
      <c r="MLU46" s="656"/>
      <c r="MLV46" s="657"/>
      <c r="MLW46" s="656"/>
      <c r="MLX46" s="657"/>
      <c r="MLY46" s="656"/>
      <c r="MLZ46" s="658"/>
      <c r="MMA46" s="656"/>
      <c r="MMB46" s="658"/>
      <c r="MME46" s="288"/>
      <c r="MMF46" s="312"/>
      <c r="MMG46" s="482"/>
      <c r="MMH46" s="312"/>
      <c r="MMI46" s="656"/>
      <c r="MMJ46" s="657"/>
      <c r="MMK46" s="656"/>
      <c r="MML46" s="657"/>
      <c r="MMM46" s="656"/>
      <c r="MMN46" s="658"/>
      <c r="MMO46" s="656"/>
      <c r="MMP46" s="658"/>
      <c r="MMS46" s="288"/>
      <c r="MMT46" s="312"/>
      <c r="MMU46" s="482"/>
      <c r="MMV46" s="312"/>
      <c r="MMW46" s="656"/>
      <c r="MMX46" s="657"/>
      <c r="MMY46" s="656"/>
      <c r="MMZ46" s="657"/>
      <c r="MNA46" s="656"/>
      <c r="MNB46" s="658"/>
      <c r="MNC46" s="656"/>
      <c r="MND46" s="658"/>
      <c r="MNG46" s="288"/>
      <c r="MNH46" s="312"/>
      <c r="MNI46" s="482"/>
      <c r="MNJ46" s="312"/>
      <c r="MNK46" s="656"/>
      <c r="MNL46" s="657"/>
      <c r="MNM46" s="656"/>
      <c r="MNN46" s="657"/>
      <c r="MNO46" s="656"/>
      <c r="MNP46" s="658"/>
      <c r="MNQ46" s="656"/>
      <c r="MNR46" s="658"/>
      <c r="MNU46" s="288"/>
      <c r="MNV46" s="312"/>
      <c r="MNW46" s="482"/>
      <c r="MNX46" s="312"/>
      <c r="MNY46" s="656"/>
      <c r="MNZ46" s="657"/>
      <c r="MOA46" s="656"/>
      <c r="MOB46" s="657"/>
      <c r="MOC46" s="656"/>
      <c r="MOD46" s="658"/>
      <c r="MOE46" s="656"/>
      <c r="MOF46" s="658"/>
      <c r="MOI46" s="288"/>
      <c r="MOJ46" s="312"/>
      <c r="MOK46" s="482"/>
      <c r="MOL46" s="312"/>
      <c r="MOM46" s="656"/>
      <c r="MON46" s="657"/>
      <c r="MOO46" s="656"/>
      <c r="MOP46" s="657"/>
      <c r="MOQ46" s="656"/>
      <c r="MOR46" s="658"/>
      <c r="MOS46" s="656"/>
      <c r="MOT46" s="658"/>
      <c r="MOW46" s="288"/>
      <c r="MOX46" s="312"/>
      <c r="MOY46" s="482"/>
      <c r="MOZ46" s="312"/>
      <c r="MPA46" s="656"/>
      <c r="MPB46" s="657"/>
      <c r="MPC46" s="656"/>
      <c r="MPD46" s="657"/>
      <c r="MPE46" s="656"/>
      <c r="MPF46" s="658"/>
      <c r="MPG46" s="656"/>
      <c r="MPH46" s="658"/>
      <c r="MPK46" s="288"/>
      <c r="MPL46" s="312"/>
      <c r="MPM46" s="482"/>
      <c r="MPN46" s="312"/>
      <c r="MPO46" s="656"/>
      <c r="MPP46" s="657"/>
      <c r="MPQ46" s="656"/>
      <c r="MPR46" s="657"/>
      <c r="MPS46" s="656"/>
      <c r="MPT46" s="658"/>
      <c r="MPU46" s="656"/>
      <c r="MPV46" s="658"/>
      <c r="MPY46" s="288"/>
      <c r="MPZ46" s="312"/>
      <c r="MQA46" s="482"/>
      <c r="MQB46" s="312"/>
      <c r="MQC46" s="656"/>
      <c r="MQD46" s="657"/>
      <c r="MQE46" s="656"/>
      <c r="MQF46" s="657"/>
      <c r="MQG46" s="656"/>
      <c r="MQH46" s="658"/>
      <c r="MQI46" s="656"/>
      <c r="MQJ46" s="658"/>
      <c r="MQM46" s="288"/>
      <c r="MQN46" s="312"/>
      <c r="MQO46" s="482"/>
      <c r="MQP46" s="312"/>
      <c r="MQQ46" s="656"/>
      <c r="MQR46" s="657"/>
      <c r="MQS46" s="656"/>
      <c r="MQT46" s="657"/>
      <c r="MQU46" s="656"/>
      <c r="MQV46" s="658"/>
      <c r="MQW46" s="656"/>
      <c r="MQX46" s="658"/>
      <c r="MRA46" s="288"/>
      <c r="MRB46" s="312"/>
      <c r="MRC46" s="482"/>
      <c r="MRD46" s="312"/>
      <c r="MRE46" s="656"/>
      <c r="MRF46" s="657"/>
      <c r="MRG46" s="656"/>
      <c r="MRH46" s="657"/>
      <c r="MRI46" s="656"/>
      <c r="MRJ46" s="658"/>
      <c r="MRK46" s="656"/>
      <c r="MRL46" s="658"/>
      <c r="MRO46" s="288"/>
      <c r="MRP46" s="312"/>
      <c r="MRQ46" s="482"/>
      <c r="MRR46" s="312"/>
      <c r="MRS46" s="656"/>
      <c r="MRT46" s="657"/>
      <c r="MRU46" s="656"/>
      <c r="MRV46" s="657"/>
      <c r="MRW46" s="656"/>
      <c r="MRX46" s="658"/>
      <c r="MRY46" s="656"/>
      <c r="MRZ46" s="658"/>
      <c r="MSC46" s="288"/>
      <c r="MSD46" s="312"/>
      <c r="MSE46" s="482"/>
      <c r="MSF46" s="312"/>
      <c r="MSG46" s="656"/>
      <c r="MSH46" s="657"/>
      <c r="MSI46" s="656"/>
      <c r="MSJ46" s="657"/>
      <c r="MSK46" s="656"/>
      <c r="MSL46" s="658"/>
      <c r="MSM46" s="656"/>
      <c r="MSN46" s="658"/>
      <c r="MSQ46" s="288"/>
      <c r="MSR46" s="312"/>
      <c r="MSS46" s="482"/>
      <c r="MST46" s="312"/>
      <c r="MSU46" s="656"/>
      <c r="MSV46" s="657"/>
      <c r="MSW46" s="656"/>
      <c r="MSX46" s="657"/>
      <c r="MSY46" s="656"/>
      <c r="MSZ46" s="658"/>
      <c r="MTA46" s="656"/>
      <c r="MTB46" s="658"/>
      <c r="MTE46" s="288"/>
      <c r="MTF46" s="312"/>
      <c r="MTG46" s="482"/>
      <c r="MTH46" s="312"/>
      <c r="MTI46" s="656"/>
      <c r="MTJ46" s="657"/>
      <c r="MTK46" s="656"/>
      <c r="MTL46" s="657"/>
      <c r="MTM46" s="656"/>
      <c r="MTN46" s="658"/>
      <c r="MTO46" s="656"/>
      <c r="MTP46" s="658"/>
      <c r="MTS46" s="288"/>
      <c r="MTT46" s="312"/>
      <c r="MTU46" s="482"/>
      <c r="MTV46" s="312"/>
      <c r="MTW46" s="656"/>
      <c r="MTX46" s="657"/>
      <c r="MTY46" s="656"/>
      <c r="MTZ46" s="657"/>
      <c r="MUA46" s="656"/>
      <c r="MUB46" s="658"/>
      <c r="MUC46" s="656"/>
      <c r="MUD46" s="658"/>
      <c r="MUG46" s="288"/>
      <c r="MUH46" s="312"/>
      <c r="MUI46" s="482"/>
      <c r="MUJ46" s="312"/>
      <c r="MUK46" s="656"/>
      <c r="MUL46" s="657"/>
      <c r="MUM46" s="656"/>
      <c r="MUN46" s="657"/>
      <c r="MUO46" s="656"/>
      <c r="MUP46" s="658"/>
      <c r="MUQ46" s="656"/>
      <c r="MUR46" s="658"/>
      <c r="MUU46" s="288"/>
      <c r="MUV46" s="312"/>
      <c r="MUW46" s="482"/>
      <c r="MUX46" s="312"/>
      <c r="MUY46" s="656"/>
      <c r="MUZ46" s="657"/>
      <c r="MVA46" s="656"/>
      <c r="MVB46" s="657"/>
      <c r="MVC46" s="656"/>
      <c r="MVD46" s="658"/>
      <c r="MVE46" s="656"/>
      <c r="MVF46" s="658"/>
      <c r="MVI46" s="288"/>
      <c r="MVJ46" s="312"/>
      <c r="MVK46" s="482"/>
      <c r="MVL46" s="312"/>
      <c r="MVM46" s="656"/>
      <c r="MVN46" s="657"/>
      <c r="MVO46" s="656"/>
      <c r="MVP46" s="657"/>
      <c r="MVQ46" s="656"/>
      <c r="MVR46" s="658"/>
      <c r="MVS46" s="656"/>
      <c r="MVT46" s="658"/>
      <c r="MVW46" s="288"/>
      <c r="MVX46" s="312"/>
      <c r="MVY46" s="482"/>
      <c r="MVZ46" s="312"/>
      <c r="MWA46" s="656"/>
      <c r="MWB46" s="657"/>
      <c r="MWC46" s="656"/>
      <c r="MWD46" s="657"/>
      <c r="MWE46" s="656"/>
      <c r="MWF46" s="658"/>
      <c r="MWG46" s="656"/>
      <c r="MWH46" s="658"/>
      <c r="MWK46" s="288"/>
      <c r="MWL46" s="312"/>
      <c r="MWM46" s="482"/>
      <c r="MWN46" s="312"/>
      <c r="MWO46" s="656"/>
      <c r="MWP46" s="657"/>
      <c r="MWQ46" s="656"/>
      <c r="MWR46" s="657"/>
      <c r="MWS46" s="656"/>
      <c r="MWT46" s="658"/>
      <c r="MWU46" s="656"/>
      <c r="MWV46" s="658"/>
      <c r="MWY46" s="288"/>
      <c r="MWZ46" s="312"/>
      <c r="MXA46" s="482"/>
      <c r="MXB46" s="312"/>
      <c r="MXC46" s="656"/>
      <c r="MXD46" s="657"/>
      <c r="MXE46" s="656"/>
      <c r="MXF46" s="657"/>
      <c r="MXG46" s="656"/>
      <c r="MXH46" s="658"/>
      <c r="MXI46" s="656"/>
      <c r="MXJ46" s="658"/>
      <c r="MXM46" s="288"/>
      <c r="MXN46" s="312"/>
      <c r="MXO46" s="482"/>
      <c r="MXP46" s="312"/>
      <c r="MXQ46" s="656"/>
      <c r="MXR46" s="657"/>
      <c r="MXS46" s="656"/>
      <c r="MXT46" s="657"/>
      <c r="MXU46" s="656"/>
      <c r="MXV46" s="658"/>
      <c r="MXW46" s="656"/>
      <c r="MXX46" s="658"/>
      <c r="MYA46" s="288"/>
      <c r="MYB46" s="312"/>
      <c r="MYC46" s="482"/>
      <c r="MYD46" s="312"/>
      <c r="MYE46" s="656"/>
      <c r="MYF46" s="657"/>
      <c r="MYG46" s="656"/>
      <c r="MYH46" s="657"/>
      <c r="MYI46" s="656"/>
      <c r="MYJ46" s="658"/>
      <c r="MYK46" s="656"/>
      <c r="MYL46" s="658"/>
      <c r="MYO46" s="288"/>
      <c r="MYP46" s="312"/>
      <c r="MYQ46" s="482"/>
      <c r="MYR46" s="312"/>
      <c r="MYS46" s="656"/>
      <c r="MYT46" s="657"/>
      <c r="MYU46" s="656"/>
      <c r="MYV46" s="657"/>
      <c r="MYW46" s="656"/>
      <c r="MYX46" s="658"/>
      <c r="MYY46" s="656"/>
      <c r="MYZ46" s="658"/>
      <c r="MZC46" s="288"/>
      <c r="MZD46" s="312"/>
      <c r="MZE46" s="482"/>
      <c r="MZF46" s="312"/>
      <c r="MZG46" s="656"/>
      <c r="MZH46" s="657"/>
      <c r="MZI46" s="656"/>
      <c r="MZJ46" s="657"/>
      <c r="MZK46" s="656"/>
      <c r="MZL46" s="658"/>
      <c r="MZM46" s="656"/>
      <c r="MZN46" s="658"/>
      <c r="MZQ46" s="288"/>
      <c r="MZR46" s="312"/>
      <c r="MZS46" s="482"/>
      <c r="MZT46" s="312"/>
      <c r="MZU46" s="656"/>
      <c r="MZV46" s="657"/>
      <c r="MZW46" s="656"/>
      <c r="MZX46" s="657"/>
      <c r="MZY46" s="656"/>
      <c r="MZZ46" s="658"/>
      <c r="NAA46" s="656"/>
      <c r="NAB46" s="658"/>
      <c r="NAE46" s="288"/>
      <c r="NAF46" s="312"/>
      <c r="NAG46" s="482"/>
      <c r="NAH46" s="312"/>
      <c r="NAI46" s="656"/>
      <c r="NAJ46" s="657"/>
      <c r="NAK46" s="656"/>
      <c r="NAL46" s="657"/>
      <c r="NAM46" s="656"/>
      <c r="NAN46" s="658"/>
      <c r="NAO46" s="656"/>
      <c r="NAP46" s="658"/>
      <c r="NAS46" s="288"/>
      <c r="NAT46" s="312"/>
      <c r="NAU46" s="482"/>
      <c r="NAV46" s="312"/>
      <c r="NAW46" s="656"/>
      <c r="NAX46" s="657"/>
      <c r="NAY46" s="656"/>
      <c r="NAZ46" s="657"/>
      <c r="NBA46" s="656"/>
      <c r="NBB46" s="658"/>
      <c r="NBC46" s="656"/>
      <c r="NBD46" s="658"/>
      <c r="NBG46" s="288"/>
      <c r="NBH46" s="312"/>
      <c r="NBI46" s="482"/>
      <c r="NBJ46" s="312"/>
      <c r="NBK46" s="656"/>
      <c r="NBL46" s="657"/>
      <c r="NBM46" s="656"/>
      <c r="NBN46" s="657"/>
      <c r="NBO46" s="656"/>
      <c r="NBP46" s="658"/>
      <c r="NBQ46" s="656"/>
      <c r="NBR46" s="658"/>
      <c r="NBU46" s="288"/>
      <c r="NBV46" s="312"/>
      <c r="NBW46" s="482"/>
      <c r="NBX46" s="312"/>
      <c r="NBY46" s="656"/>
      <c r="NBZ46" s="657"/>
      <c r="NCA46" s="656"/>
      <c r="NCB46" s="657"/>
      <c r="NCC46" s="656"/>
      <c r="NCD46" s="658"/>
      <c r="NCE46" s="656"/>
      <c r="NCF46" s="658"/>
      <c r="NCI46" s="288"/>
      <c r="NCJ46" s="312"/>
      <c r="NCK46" s="482"/>
      <c r="NCL46" s="312"/>
      <c r="NCM46" s="656"/>
      <c r="NCN46" s="657"/>
      <c r="NCO46" s="656"/>
      <c r="NCP46" s="657"/>
      <c r="NCQ46" s="656"/>
      <c r="NCR46" s="658"/>
      <c r="NCS46" s="656"/>
      <c r="NCT46" s="658"/>
      <c r="NCW46" s="288"/>
      <c r="NCX46" s="312"/>
      <c r="NCY46" s="482"/>
      <c r="NCZ46" s="312"/>
      <c r="NDA46" s="656"/>
      <c r="NDB46" s="657"/>
      <c r="NDC46" s="656"/>
      <c r="NDD46" s="657"/>
      <c r="NDE46" s="656"/>
      <c r="NDF46" s="658"/>
      <c r="NDG46" s="656"/>
      <c r="NDH46" s="658"/>
      <c r="NDK46" s="288"/>
      <c r="NDL46" s="312"/>
      <c r="NDM46" s="482"/>
      <c r="NDN46" s="312"/>
      <c r="NDO46" s="656"/>
      <c r="NDP46" s="657"/>
      <c r="NDQ46" s="656"/>
      <c r="NDR46" s="657"/>
      <c r="NDS46" s="656"/>
      <c r="NDT46" s="658"/>
      <c r="NDU46" s="656"/>
      <c r="NDV46" s="658"/>
      <c r="NDY46" s="288"/>
      <c r="NDZ46" s="312"/>
      <c r="NEA46" s="482"/>
      <c r="NEB46" s="312"/>
      <c r="NEC46" s="656"/>
      <c r="NED46" s="657"/>
      <c r="NEE46" s="656"/>
      <c r="NEF46" s="657"/>
      <c r="NEG46" s="656"/>
      <c r="NEH46" s="658"/>
      <c r="NEI46" s="656"/>
      <c r="NEJ46" s="658"/>
      <c r="NEM46" s="288"/>
      <c r="NEN46" s="312"/>
      <c r="NEO46" s="482"/>
      <c r="NEP46" s="312"/>
      <c r="NEQ46" s="656"/>
      <c r="NER46" s="657"/>
      <c r="NES46" s="656"/>
      <c r="NET46" s="657"/>
      <c r="NEU46" s="656"/>
      <c r="NEV46" s="658"/>
      <c r="NEW46" s="656"/>
      <c r="NEX46" s="658"/>
      <c r="NFA46" s="288"/>
      <c r="NFB46" s="312"/>
      <c r="NFC46" s="482"/>
      <c r="NFD46" s="312"/>
      <c r="NFE46" s="656"/>
      <c r="NFF46" s="657"/>
      <c r="NFG46" s="656"/>
      <c r="NFH46" s="657"/>
      <c r="NFI46" s="656"/>
      <c r="NFJ46" s="658"/>
      <c r="NFK46" s="656"/>
      <c r="NFL46" s="658"/>
      <c r="NFO46" s="288"/>
      <c r="NFP46" s="312"/>
      <c r="NFQ46" s="482"/>
      <c r="NFR46" s="312"/>
      <c r="NFS46" s="656"/>
      <c r="NFT46" s="657"/>
      <c r="NFU46" s="656"/>
      <c r="NFV46" s="657"/>
      <c r="NFW46" s="656"/>
      <c r="NFX46" s="658"/>
      <c r="NFY46" s="656"/>
      <c r="NFZ46" s="658"/>
      <c r="NGC46" s="288"/>
      <c r="NGD46" s="312"/>
      <c r="NGE46" s="482"/>
      <c r="NGF46" s="312"/>
      <c r="NGG46" s="656"/>
      <c r="NGH46" s="657"/>
      <c r="NGI46" s="656"/>
      <c r="NGJ46" s="657"/>
      <c r="NGK46" s="656"/>
      <c r="NGL46" s="658"/>
      <c r="NGM46" s="656"/>
      <c r="NGN46" s="658"/>
      <c r="NGQ46" s="288"/>
      <c r="NGR46" s="312"/>
      <c r="NGS46" s="482"/>
      <c r="NGT46" s="312"/>
      <c r="NGU46" s="656"/>
      <c r="NGV46" s="657"/>
      <c r="NGW46" s="656"/>
      <c r="NGX46" s="657"/>
      <c r="NGY46" s="656"/>
      <c r="NGZ46" s="658"/>
      <c r="NHA46" s="656"/>
      <c r="NHB46" s="658"/>
      <c r="NHE46" s="288"/>
      <c r="NHF46" s="312"/>
      <c r="NHG46" s="482"/>
      <c r="NHH46" s="312"/>
      <c r="NHI46" s="656"/>
      <c r="NHJ46" s="657"/>
      <c r="NHK46" s="656"/>
      <c r="NHL46" s="657"/>
      <c r="NHM46" s="656"/>
      <c r="NHN46" s="658"/>
      <c r="NHO46" s="656"/>
      <c r="NHP46" s="658"/>
      <c r="NHS46" s="288"/>
      <c r="NHT46" s="312"/>
      <c r="NHU46" s="482"/>
      <c r="NHV46" s="312"/>
      <c r="NHW46" s="656"/>
      <c r="NHX46" s="657"/>
      <c r="NHY46" s="656"/>
      <c r="NHZ46" s="657"/>
      <c r="NIA46" s="656"/>
      <c r="NIB46" s="658"/>
      <c r="NIC46" s="656"/>
      <c r="NID46" s="658"/>
      <c r="NIG46" s="288"/>
      <c r="NIH46" s="312"/>
      <c r="NII46" s="482"/>
      <c r="NIJ46" s="312"/>
      <c r="NIK46" s="656"/>
      <c r="NIL46" s="657"/>
      <c r="NIM46" s="656"/>
      <c r="NIN46" s="657"/>
      <c r="NIO46" s="656"/>
      <c r="NIP46" s="658"/>
      <c r="NIQ46" s="656"/>
      <c r="NIR46" s="658"/>
      <c r="NIU46" s="288"/>
      <c r="NIV46" s="312"/>
      <c r="NIW46" s="482"/>
      <c r="NIX46" s="312"/>
      <c r="NIY46" s="656"/>
      <c r="NIZ46" s="657"/>
      <c r="NJA46" s="656"/>
      <c r="NJB46" s="657"/>
      <c r="NJC46" s="656"/>
      <c r="NJD46" s="658"/>
      <c r="NJE46" s="656"/>
      <c r="NJF46" s="658"/>
      <c r="NJI46" s="288"/>
      <c r="NJJ46" s="312"/>
      <c r="NJK46" s="482"/>
      <c r="NJL46" s="312"/>
      <c r="NJM46" s="656"/>
      <c r="NJN46" s="657"/>
      <c r="NJO46" s="656"/>
      <c r="NJP46" s="657"/>
      <c r="NJQ46" s="656"/>
      <c r="NJR46" s="658"/>
      <c r="NJS46" s="656"/>
      <c r="NJT46" s="658"/>
      <c r="NJW46" s="288"/>
      <c r="NJX46" s="312"/>
      <c r="NJY46" s="482"/>
      <c r="NJZ46" s="312"/>
      <c r="NKA46" s="656"/>
      <c r="NKB46" s="657"/>
      <c r="NKC46" s="656"/>
      <c r="NKD46" s="657"/>
      <c r="NKE46" s="656"/>
      <c r="NKF46" s="658"/>
      <c r="NKG46" s="656"/>
      <c r="NKH46" s="658"/>
      <c r="NKK46" s="288"/>
      <c r="NKL46" s="312"/>
      <c r="NKM46" s="482"/>
      <c r="NKN46" s="312"/>
      <c r="NKO46" s="656"/>
      <c r="NKP46" s="657"/>
      <c r="NKQ46" s="656"/>
      <c r="NKR46" s="657"/>
      <c r="NKS46" s="656"/>
      <c r="NKT46" s="658"/>
      <c r="NKU46" s="656"/>
      <c r="NKV46" s="658"/>
      <c r="NKY46" s="288"/>
      <c r="NKZ46" s="312"/>
      <c r="NLA46" s="482"/>
      <c r="NLB46" s="312"/>
      <c r="NLC46" s="656"/>
      <c r="NLD46" s="657"/>
      <c r="NLE46" s="656"/>
      <c r="NLF46" s="657"/>
      <c r="NLG46" s="656"/>
      <c r="NLH46" s="658"/>
      <c r="NLI46" s="656"/>
      <c r="NLJ46" s="658"/>
      <c r="NLM46" s="288"/>
      <c r="NLN46" s="312"/>
      <c r="NLO46" s="482"/>
      <c r="NLP46" s="312"/>
      <c r="NLQ46" s="656"/>
      <c r="NLR46" s="657"/>
      <c r="NLS46" s="656"/>
      <c r="NLT46" s="657"/>
      <c r="NLU46" s="656"/>
      <c r="NLV46" s="658"/>
      <c r="NLW46" s="656"/>
      <c r="NLX46" s="658"/>
      <c r="NMA46" s="288"/>
      <c r="NMB46" s="312"/>
      <c r="NMC46" s="482"/>
      <c r="NMD46" s="312"/>
      <c r="NME46" s="656"/>
      <c r="NMF46" s="657"/>
      <c r="NMG46" s="656"/>
      <c r="NMH46" s="657"/>
      <c r="NMI46" s="656"/>
      <c r="NMJ46" s="658"/>
      <c r="NMK46" s="656"/>
      <c r="NML46" s="658"/>
      <c r="NMO46" s="288"/>
      <c r="NMP46" s="312"/>
      <c r="NMQ46" s="482"/>
      <c r="NMR46" s="312"/>
      <c r="NMS46" s="656"/>
      <c r="NMT46" s="657"/>
      <c r="NMU46" s="656"/>
      <c r="NMV46" s="657"/>
      <c r="NMW46" s="656"/>
      <c r="NMX46" s="658"/>
      <c r="NMY46" s="656"/>
      <c r="NMZ46" s="658"/>
      <c r="NNC46" s="288"/>
      <c r="NND46" s="312"/>
      <c r="NNE46" s="482"/>
      <c r="NNF46" s="312"/>
      <c r="NNG46" s="656"/>
      <c r="NNH46" s="657"/>
      <c r="NNI46" s="656"/>
      <c r="NNJ46" s="657"/>
      <c r="NNK46" s="656"/>
      <c r="NNL46" s="658"/>
      <c r="NNM46" s="656"/>
      <c r="NNN46" s="658"/>
      <c r="NNQ46" s="288"/>
      <c r="NNR46" s="312"/>
      <c r="NNS46" s="482"/>
      <c r="NNT46" s="312"/>
      <c r="NNU46" s="656"/>
      <c r="NNV46" s="657"/>
      <c r="NNW46" s="656"/>
      <c r="NNX46" s="657"/>
      <c r="NNY46" s="656"/>
      <c r="NNZ46" s="658"/>
      <c r="NOA46" s="656"/>
      <c r="NOB46" s="658"/>
      <c r="NOE46" s="288"/>
      <c r="NOF46" s="312"/>
      <c r="NOG46" s="482"/>
      <c r="NOH46" s="312"/>
      <c r="NOI46" s="656"/>
      <c r="NOJ46" s="657"/>
      <c r="NOK46" s="656"/>
      <c r="NOL46" s="657"/>
      <c r="NOM46" s="656"/>
      <c r="NON46" s="658"/>
      <c r="NOO46" s="656"/>
      <c r="NOP46" s="658"/>
      <c r="NOS46" s="288"/>
      <c r="NOT46" s="312"/>
      <c r="NOU46" s="482"/>
      <c r="NOV46" s="312"/>
      <c r="NOW46" s="656"/>
      <c r="NOX46" s="657"/>
      <c r="NOY46" s="656"/>
      <c r="NOZ46" s="657"/>
      <c r="NPA46" s="656"/>
      <c r="NPB46" s="658"/>
      <c r="NPC46" s="656"/>
      <c r="NPD46" s="658"/>
      <c r="NPG46" s="288"/>
      <c r="NPH46" s="312"/>
      <c r="NPI46" s="482"/>
      <c r="NPJ46" s="312"/>
      <c r="NPK46" s="656"/>
      <c r="NPL46" s="657"/>
      <c r="NPM46" s="656"/>
      <c r="NPN46" s="657"/>
      <c r="NPO46" s="656"/>
      <c r="NPP46" s="658"/>
      <c r="NPQ46" s="656"/>
      <c r="NPR46" s="658"/>
      <c r="NPU46" s="288"/>
      <c r="NPV46" s="312"/>
      <c r="NPW46" s="482"/>
      <c r="NPX46" s="312"/>
      <c r="NPY46" s="656"/>
      <c r="NPZ46" s="657"/>
      <c r="NQA46" s="656"/>
      <c r="NQB46" s="657"/>
      <c r="NQC46" s="656"/>
      <c r="NQD46" s="658"/>
      <c r="NQE46" s="656"/>
      <c r="NQF46" s="658"/>
      <c r="NQI46" s="288"/>
      <c r="NQJ46" s="312"/>
      <c r="NQK46" s="482"/>
      <c r="NQL46" s="312"/>
      <c r="NQM46" s="656"/>
      <c r="NQN46" s="657"/>
      <c r="NQO46" s="656"/>
      <c r="NQP46" s="657"/>
      <c r="NQQ46" s="656"/>
      <c r="NQR46" s="658"/>
      <c r="NQS46" s="656"/>
      <c r="NQT46" s="658"/>
      <c r="NQW46" s="288"/>
      <c r="NQX46" s="312"/>
      <c r="NQY46" s="482"/>
      <c r="NQZ46" s="312"/>
      <c r="NRA46" s="656"/>
      <c r="NRB46" s="657"/>
      <c r="NRC46" s="656"/>
      <c r="NRD46" s="657"/>
      <c r="NRE46" s="656"/>
      <c r="NRF46" s="658"/>
      <c r="NRG46" s="656"/>
      <c r="NRH46" s="658"/>
      <c r="NRK46" s="288"/>
      <c r="NRL46" s="312"/>
      <c r="NRM46" s="482"/>
      <c r="NRN46" s="312"/>
      <c r="NRO46" s="656"/>
      <c r="NRP46" s="657"/>
      <c r="NRQ46" s="656"/>
      <c r="NRR46" s="657"/>
      <c r="NRS46" s="656"/>
      <c r="NRT46" s="658"/>
      <c r="NRU46" s="656"/>
      <c r="NRV46" s="658"/>
      <c r="NRY46" s="288"/>
      <c r="NRZ46" s="312"/>
      <c r="NSA46" s="482"/>
      <c r="NSB46" s="312"/>
      <c r="NSC46" s="656"/>
      <c r="NSD46" s="657"/>
      <c r="NSE46" s="656"/>
      <c r="NSF46" s="657"/>
      <c r="NSG46" s="656"/>
      <c r="NSH46" s="658"/>
      <c r="NSI46" s="656"/>
      <c r="NSJ46" s="658"/>
      <c r="NSM46" s="288"/>
      <c r="NSN46" s="312"/>
      <c r="NSO46" s="482"/>
      <c r="NSP46" s="312"/>
      <c r="NSQ46" s="656"/>
      <c r="NSR46" s="657"/>
      <c r="NSS46" s="656"/>
      <c r="NST46" s="657"/>
      <c r="NSU46" s="656"/>
      <c r="NSV46" s="658"/>
      <c r="NSW46" s="656"/>
      <c r="NSX46" s="658"/>
      <c r="NTA46" s="288"/>
      <c r="NTB46" s="312"/>
      <c r="NTC46" s="482"/>
      <c r="NTD46" s="312"/>
      <c r="NTE46" s="656"/>
      <c r="NTF46" s="657"/>
      <c r="NTG46" s="656"/>
      <c r="NTH46" s="657"/>
      <c r="NTI46" s="656"/>
      <c r="NTJ46" s="658"/>
      <c r="NTK46" s="656"/>
      <c r="NTL46" s="658"/>
      <c r="NTO46" s="288"/>
      <c r="NTP46" s="312"/>
      <c r="NTQ46" s="482"/>
      <c r="NTR46" s="312"/>
      <c r="NTS46" s="656"/>
      <c r="NTT46" s="657"/>
      <c r="NTU46" s="656"/>
      <c r="NTV46" s="657"/>
      <c r="NTW46" s="656"/>
      <c r="NTX46" s="658"/>
      <c r="NTY46" s="656"/>
      <c r="NTZ46" s="658"/>
      <c r="NUC46" s="288"/>
      <c r="NUD46" s="312"/>
      <c r="NUE46" s="482"/>
      <c r="NUF46" s="312"/>
      <c r="NUG46" s="656"/>
      <c r="NUH46" s="657"/>
      <c r="NUI46" s="656"/>
      <c r="NUJ46" s="657"/>
      <c r="NUK46" s="656"/>
      <c r="NUL46" s="658"/>
      <c r="NUM46" s="656"/>
      <c r="NUN46" s="658"/>
      <c r="NUQ46" s="288"/>
      <c r="NUR46" s="312"/>
      <c r="NUS46" s="482"/>
      <c r="NUT46" s="312"/>
      <c r="NUU46" s="656"/>
      <c r="NUV46" s="657"/>
      <c r="NUW46" s="656"/>
      <c r="NUX46" s="657"/>
      <c r="NUY46" s="656"/>
      <c r="NUZ46" s="658"/>
      <c r="NVA46" s="656"/>
      <c r="NVB46" s="658"/>
      <c r="NVE46" s="288"/>
      <c r="NVF46" s="312"/>
      <c r="NVG46" s="482"/>
      <c r="NVH46" s="312"/>
      <c r="NVI46" s="656"/>
      <c r="NVJ46" s="657"/>
      <c r="NVK46" s="656"/>
      <c r="NVL46" s="657"/>
      <c r="NVM46" s="656"/>
      <c r="NVN46" s="658"/>
      <c r="NVO46" s="656"/>
      <c r="NVP46" s="658"/>
      <c r="NVS46" s="288"/>
      <c r="NVT46" s="312"/>
      <c r="NVU46" s="482"/>
      <c r="NVV46" s="312"/>
      <c r="NVW46" s="656"/>
      <c r="NVX46" s="657"/>
      <c r="NVY46" s="656"/>
      <c r="NVZ46" s="657"/>
      <c r="NWA46" s="656"/>
      <c r="NWB46" s="658"/>
      <c r="NWC46" s="656"/>
      <c r="NWD46" s="658"/>
      <c r="NWG46" s="288"/>
      <c r="NWH46" s="312"/>
      <c r="NWI46" s="482"/>
      <c r="NWJ46" s="312"/>
      <c r="NWK46" s="656"/>
      <c r="NWL46" s="657"/>
      <c r="NWM46" s="656"/>
      <c r="NWN46" s="657"/>
      <c r="NWO46" s="656"/>
      <c r="NWP46" s="658"/>
      <c r="NWQ46" s="656"/>
      <c r="NWR46" s="658"/>
      <c r="NWU46" s="288"/>
      <c r="NWV46" s="312"/>
      <c r="NWW46" s="482"/>
      <c r="NWX46" s="312"/>
      <c r="NWY46" s="656"/>
      <c r="NWZ46" s="657"/>
      <c r="NXA46" s="656"/>
      <c r="NXB46" s="657"/>
      <c r="NXC46" s="656"/>
      <c r="NXD46" s="658"/>
      <c r="NXE46" s="656"/>
      <c r="NXF46" s="658"/>
      <c r="NXI46" s="288"/>
      <c r="NXJ46" s="312"/>
      <c r="NXK46" s="482"/>
      <c r="NXL46" s="312"/>
      <c r="NXM46" s="656"/>
      <c r="NXN46" s="657"/>
      <c r="NXO46" s="656"/>
      <c r="NXP46" s="657"/>
      <c r="NXQ46" s="656"/>
      <c r="NXR46" s="658"/>
      <c r="NXS46" s="656"/>
      <c r="NXT46" s="658"/>
      <c r="NXW46" s="288"/>
      <c r="NXX46" s="312"/>
      <c r="NXY46" s="482"/>
      <c r="NXZ46" s="312"/>
      <c r="NYA46" s="656"/>
      <c r="NYB46" s="657"/>
      <c r="NYC46" s="656"/>
      <c r="NYD46" s="657"/>
      <c r="NYE46" s="656"/>
      <c r="NYF46" s="658"/>
      <c r="NYG46" s="656"/>
      <c r="NYH46" s="658"/>
      <c r="NYK46" s="288"/>
      <c r="NYL46" s="312"/>
      <c r="NYM46" s="482"/>
      <c r="NYN46" s="312"/>
      <c r="NYO46" s="656"/>
      <c r="NYP46" s="657"/>
      <c r="NYQ46" s="656"/>
      <c r="NYR46" s="657"/>
      <c r="NYS46" s="656"/>
      <c r="NYT46" s="658"/>
      <c r="NYU46" s="656"/>
      <c r="NYV46" s="658"/>
      <c r="NYY46" s="288"/>
      <c r="NYZ46" s="312"/>
      <c r="NZA46" s="482"/>
      <c r="NZB46" s="312"/>
      <c r="NZC46" s="656"/>
      <c r="NZD46" s="657"/>
      <c r="NZE46" s="656"/>
      <c r="NZF46" s="657"/>
      <c r="NZG46" s="656"/>
      <c r="NZH46" s="658"/>
      <c r="NZI46" s="656"/>
      <c r="NZJ46" s="658"/>
      <c r="NZM46" s="288"/>
      <c r="NZN46" s="312"/>
      <c r="NZO46" s="482"/>
      <c r="NZP46" s="312"/>
      <c r="NZQ46" s="656"/>
      <c r="NZR46" s="657"/>
      <c r="NZS46" s="656"/>
      <c r="NZT46" s="657"/>
      <c r="NZU46" s="656"/>
      <c r="NZV46" s="658"/>
      <c r="NZW46" s="656"/>
      <c r="NZX46" s="658"/>
      <c r="OAA46" s="288"/>
      <c r="OAB46" s="312"/>
      <c r="OAC46" s="482"/>
      <c r="OAD46" s="312"/>
      <c r="OAE46" s="656"/>
      <c r="OAF46" s="657"/>
      <c r="OAG46" s="656"/>
      <c r="OAH46" s="657"/>
      <c r="OAI46" s="656"/>
      <c r="OAJ46" s="658"/>
      <c r="OAK46" s="656"/>
      <c r="OAL46" s="658"/>
      <c r="OAO46" s="288"/>
      <c r="OAP46" s="312"/>
      <c r="OAQ46" s="482"/>
      <c r="OAR46" s="312"/>
      <c r="OAS46" s="656"/>
      <c r="OAT46" s="657"/>
      <c r="OAU46" s="656"/>
      <c r="OAV46" s="657"/>
      <c r="OAW46" s="656"/>
      <c r="OAX46" s="658"/>
      <c r="OAY46" s="656"/>
      <c r="OAZ46" s="658"/>
      <c r="OBC46" s="288"/>
      <c r="OBD46" s="312"/>
      <c r="OBE46" s="482"/>
      <c r="OBF46" s="312"/>
      <c r="OBG46" s="656"/>
      <c r="OBH46" s="657"/>
      <c r="OBI46" s="656"/>
      <c r="OBJ46" s="657"/>
      <c r="OBK46" s="656"/>
      <c r="OBL46" s="658"/>
      <c r="OBM46" s="656"/>
      <c r="OBN46" s="658"/>
      <c r="OBQ46" s="288"/>
      <c r="OBR46" s="312"/>
      <c r="OBS46" s="482"/>
      <c r="OBT46" s="312"/>
      <c r="OBU46" s="656"/>
      <c r="OBV46" s="657"/>
      <c r="OBW46" s="656"/>
      <c r="OBX46" s="657"/>
      <c r="OBY46" s="656"/>
      <c r="OBZ46" s="658"/>
      <c r="OCA46" s="656"/>
      <c r="OCB46" s="658"/>
      <c r="OCE46" s="288"/>
      <c r="OCF46" s="312"/>
      <c r="OCG46" s="482"/>
      <c r="OCH46" s="312"/>
      <c r="OCI46" s="656"/>
      <c r="OCJ46" s="657"/>
      <c r="OCK46" s="656"/>
      <c r="OCL46" s="657"/>
      <c r="OCM46" s="656"/>
      <c r="OCN46" s="658"/>
      <c r="OCO46" s="656"/>
      <c r="OCP46" s="658"/>
      <c r="OCS46" s="288"/>
      <c r="OCT46" s="312"/>
      <c r="OCU46" s="482"/>
      <c r="OCV46" s="312"/>
      <c r="OCW46" s="656"/>
      <c r="OCX46" s="657"/>
      <c r="OCY46" s="656"/>
      <c r="OCZ46" s="657"/>
      <c r="ODA46" s="656"/>
      <c r="ODB46" s="658"/>
      <c r="ODC46" s="656"/>
      <c r="ODD46" s="658"/>
      <c r="ODG46" s="288"/>
      <c r="ODH46" s="312"/>
      <c r="ODI46" s="482"/>
      <c r="ODJ46" s="312"/>
      <c r="ODK46" s="656"/>
      <c r="ODL46" s="657"/>
      <c r="ODM46" s="656"/>
      <c r="ODN46" s="657"/>
      <c r="ODO46" s="656"/>
      <c r="ODP46" s="658"/>
      <c r="ODQ46" s="656"/>
      <c r="ODR46" s="658"/>
      <c r="ODU46" s="288"/>
      <c r="ODV46" s="312"/>
      <c r="ODW46" s="482"/>
      <c r="ODX46" s="312"/>
      <c r="ODY46" s="656"/>
      <c r="ODZ46" s="657"/>
      <c r="OEA46" s="656"/>
      <c r="OEB46" s="657"/>
      <c r="OEC46" s="656"/>
      <c r="OED46" s="658"/>
      <c r="OEE46" s="656"/>
      <c r="OEF46" s="658"/>
      <c r="OEI46" s="288"/>
      <c r="OEJ46" s="312"/>
      <c r="OEK46" s="482"/>
      <c r="OEL46" s="312"/>
      <c r="OEM46" s="656"/>
      <c r="OEN46" s="657"/>
      <c r="OEO46" s="656"/>
      <c r="OEP46" s="657"/>
      <c r="OEQ46" s="656"/>
      <c r="OER46" s="658"/>
      <c r="OES46" s="656"/>
      <c r="OET46" s="658"/>
      <c r="OEW46" s="288"/>
      <c r="OEX46" s="312"/>
      <c r="OEY46" s="482"/>
      <c r="OEZ46" s="312"/>
      <c r="OFA46" s="656"/>
      <c r="OFB46" s="657"/>
      <c r="OFC46" s="656"/>
      <c r="OFD46" s="657"/>
      <c r="OFE46" s="656"/>
      <c r="OFF46" s="658"/>
      <c r="OFG46" s="656"/>
      <c r="OFH46" s="658"/>
      <c r="OFK46" s="288"/>
      <c r="OFL46" s="312"/>
      <c r="OFM46" s="482"/>
      <c r="OFN46" s="312"/>
      <c r="OFO46" s="656"/>
      <c r="OFP46" s="657"/>
      <c r="OFQ46" s="656"/>
      <c r="OFR46" s="657"/>
      <c r="OFS46" s="656"/>
      <c r="OFT46" s="658"/>
      <c r="OFU46" s="656"/>
      <c r="OFV46" s="658"/>
      <c r="OFY46" s="288"/>
      <c r="OFZ46" s="312"/>
      <c r="OGA46" s="482"/>
      <c r="OGB46" s="312"/>
      <c r="OGC46" s="656"/>
      <c r="OGD46" s="657"/>
      <c r="OGE46" s="656"/>
      <c r="OGF46" s="657"/>
      <c r="OGG46" s="656"/>
      <c r="OGH46" s="658"/>
      <c r="OGI46" s="656"/>
      <c r="OGJ46" s="658"/>
      <c r="OGM46" s="288"/>
      <c r="OGN46" s="312"/>
      <c r="OGO46" s="482"/>
      <c r="OGP46" s="312"/>
      <c r="OGQ46" s="656"/>
      <c r="OGR46" s="657"/>
      <c r="OGS46" s="656"/>
      <c r="OGT46" s="657"/>
      <c r="OGU46" s="656"/>
      <c r="OGV46" s="658"/>
      <c r="OGW46" s="656"/>
      <c r="OGX46" s="658"/>
      <c r="OHA46" s="288"/>
      <c r="OHB46" s="312"/>
      <c r="OHC46" s="482"/>
      <c r="OHD46" s="312"/>
      <c r="OHE46" s="656"/>
      <c r="OHF46" s="657"/>
      <c r="OHG46" s="656"/>
      <c r="OHH46" s="657"/>
      <c r="OHI46" s="656"/>
      <c r="OHJ46" s="658"/>
      <c r="OHK46" s="656"/>
      <c r="OHL46" s="658"/>
      <c r="OHO46" s="288"/>
      <c r="OHP46" s="312"/>
      <c r="OHQ46" s="482"/>
      <c r="OHR46" s="312"/>
      <c r="OHS46" s="656"/>
      <c r="OHT46" s="657"/>
      <c r="OHU46" s="656"/>
      <c r="OHV46" s="657"/>
      <c r="OHW46" s="656"/>
      <c r="OHX46" s="658"/>
      <c r="OHY46" s="656"/>
      <c r="OHZ46" s="658"/>
      <c r="OIC46" s="288"/>
      <c r="OID46" s="312"/>
      <c r="OIE46" s="482"/>
      <c r="OIF46" s="312"/>
      <c r="OIG46" s="656"/>
      <c r="OIH46" s="657"/>
      <c r="OII46" s="656"/>
      <c r="OIJ46" s="657"/>
      <c r="OIK46" s="656"/>
      <c r="OIL46" s="658"/>
      <c r="OIM46" s="656"/>
      <c r="OIN46" s="658"/>
      <c r="OIQ46" s="288"/>
      <c r="OIR46" s="312"/>
      <c r="OIS46" s="482"/>
      <c r="OIT46" s="312"/>
      <c r="OIU46" s="656"/>
      <c r="OIV46" s="657"/>
      <c r="OIW46" s="656"/>
      <c r="OIX46" s="657"/>
      <c r="OIY46" s="656"/>
      <c r="OIZ46" s="658"/>
      <c r="OJA46" s="656"/>
      <c r="OJB46" s="658"/>
      <c r="OJE46" s="288"/>
      <c r="OJF46" s="312"/>
      <c r="OJG46" s="482"/>
      <c r="OJH46" s="312"/>
      <c r="OJI46" s="656"/>
      <c r="OJJ46" s="657"/>
      <c r="OJK46" s="656"/>
      <c r="OJL46" s="657"/>
      <c r="OJM46" s="656"/>
      <c r="OJN46" s="658"/>
      <c r="OJO46" s="656"/>
      <c r="OJP46" s="658"/>
      <c r="OJS46" s="288"/>
      <c r="OJT46" s="312"/>
      <c r="OJU46" s="482"/>
      <c r="OJV46" s="312"/>
      <c r="OJW46" s="656"/>
      <c r="OJX46" s="657"/>
      <c r="OJY46" s="656"/>
      <c r="OJZ46" s="657"/>
      <c r="OKA46" s="656"/>
      <c r="OKB46" s="658"/>
      <c r="OKC46" s="656"/>
      <c r="OKD46" s="658"/>
      <c r="OKG46" s="288"/>
      <c r="OKH46" s="312"/>
      <c r="OKI46" s="482"/>
      <c r="OKJ46" s="312"/>
      <c r="OKK46" s="656"/>
      <c r="OKL46" s="657"/>
      <c r="OKM46" s="656"/>
      <c r="OKN46" s="657"/>
      <c r="OKO46" s="656"/>
      <c r="OKP46" s="658"/>
      <c r="OKQ46" s="656"/>
      <c r="OKR46" s="658"/>
      <c r="OKU46" s="288"/>
      <c r="OKV46" s="312"/>
      <c r="OKW46" s="482"/>
      <c r="OKX46" s="312"/>
      <c r="OKY46" s="656"/>
      <c r="OKZ46" s="657"/>
      <c r="OLA46" s="656"/>
      <c r="OLB46" s="657"/>
      <c r="OLC46" s="656"/>
      <c r="OLD46" s="658"/>
      <c r="OLE46" s="656"/>
      <c r="OLF46" s="658"/>
      <c r="OLI46" s="288"/>
      <c r="OLJ46" s="312"/>
      <c r="OLK46" s="482"/>
      <c r="OLL46" s="312"/>
      <c r="OLM46" s="656"/>
      <c r="OLN46" s="657"/>
      <c r="OLO46" s="656"/>
      <c r="OLP46" s="657"/>
      <c r="OLQ46" s="656"/>
      <c r="OLR46" s="658"/>
      <c r="OLS46" s="656"/>
      <c r="OLT46" s="658"/>
      <c r="OLW46" s="288"/>
      <c r="OLX46" s="312"/>
      <c r="OLY46" s="482"/>
      <c r="OLZ46" s="312"/>
      <c r="OMA46" s="656"/>
      <c r="OMB46" s="657"/>
      <c r="OMC46" s="656"/>
      <c r="OMD46" s="657"/>
      <c r="OME46" s="656"/>
      <c r="OMF46" s="658"/>
      <c r="OMG46" s="656"/>
      <c r="OMH46" s="658"/>
      <c r="OMK46" s="288"/>
      <c r="OML46" s="312"/>
      <c r="OMM46" s="482"/>
      <c r="OMN46" s="312"/>
      <c r="OMO46" s="656"/>
      <c r="OMP46" s="657"/>
      <c r="OMQ46" s="656"/>
      <c r="OMR46" s="657"/>
      <c r="OMS46" s="656"/>
      <c r="OMT46" s="658"/>
      <c r="OMU46" s="656"/>
      <c r="OMV46" s="658"/>
      <c r="OMY46" s="288"/>
      <c r="OMZ46" s="312"/>
      <c r="ONA46" s="482"/>
      <c r="ONB46" s="312"/>
      <c r="ONC46" s="656"/>
      <c r="OND46" s="657"/>
      <c r="ONE46" s="656"/>
      <c r="ONF46" s="657"/>
      <c r="ONG46" s="656"/>
      <c r="ONH46" s="658"/>
      <c r="ONI46" s="656"/>
      <c r="ONJ46" s="658"/>
      <c r="ONM46" s="288"/>
      <c r="ONN46" s="312"/>
      <c r="ONO46" s="482"/>
      <c r="ONP46" s="312"/>
      <c r="ONQ46" s="656"/>
      <c r="ONR46" s="657"/>
      <c r="ONS46" s="656"/>
      <c r="ONT46" s="657"/>
      <c r="ONU46" s="656"/>
      <c r="ONV46" s="658"/>
      <c r="ONW46" s="656"/>
      <c r="ONX46" s="658"/>
      <c r="OOA46" s="288"/>
      <c r="OOB46" s="312"/>
      <c r="OOC46" s="482"/>
      <c r="OOD46" s="312"/>
      <c r="OOE46" s="656"/>
      <c r="OOF46" s="657"/>
      <c r="OOG46" s="656"/>
      <c r="OOH46" s="657"/>
      <c r="OOI46" s="656"/>
      <c r="OOJ46" s="658"/>
      <c r="OOK46" s="656"/>
      <c r="OOL46" s="658"/>
      <c r="OOO46" s="288"/>
      <c r="OOP46" s="312"/>
      <c r="OOQ46" s="482"/>
      <c r="OOR46" s="312"/>
      <c r="OOS46" s="656"/>
      <c r="OOT46" s="657"/>
      <c r="OOU46" s="656"/>
      <c r="OOV46" s="657"/>
      <c r="OOW46" s="656"/>
      <c r="OOX46" s="658"/>
      <c r="OOY46" s="656"/>
      <c r="OOZ46" s="658"/>
      <c r="OPC46" s="288"/>
      <c r="OPD46" s="312"/>
      <c r="OPE46" s="482"/>
      <c r="OPF46" s="312"/>
      <c r="OPG46" s="656"/>
      <c r="OPH46" s="657"/>
      <c r="OPI46" s="656"/>
      <c r="OPJ46" s="657"/>
      <c r="OPK46" s="656"/>
      <c r="OPL46" s="658"/>
      <c r="OPM46" s="656"/>
      <c r="OPN46" s="658"/>
      <c r="OPQ46" s="288"/>
      <c r="OPR46" s="312"/>
      <c r="OPS46" s="482"/>
      <c r="OPT46" s="312"/>
      <c r="OPU46" s="656"/>
      <c r="OPV46" s="657"/>
      <c r="OPW46" s="656"/>
      <c r="OPX46" s="657"/>
      <c r="OPY46" s="656"/>
      <c r="OPZ46" s="658"/>
      <c r="OQA46" s="656"/>
      <c r="OQB46" s="658"/>
      <c r="OQE46" s="288"/>
      <c r="OQF46" s="312"/>
      <c r="OQG46" s="482"/>
      <c r="OQH46" s="312"/>
      <c r="OQI46" s="656"/>
      <c r="OQJ46" s="657"/>
      <c r="OQK46" s="656"/>
      <c r="OQL46" s="657"/>
      <c r="OQM46" s="656"/>
      <c r="OQN46" s="658"/>
      <c r="OQO46" s="656"/>
      <c r="OQP46" s="658"/>
      <c r="OQS46" s="288"/>
      <c r="OQT46" s="312"/>
      <c r="OQU46" s="482"/>
      <c r="OQV46" s="312"/>
      <c r="OQW46" s="656"/>
      <c r="OQX46" s="657"/>
      <c r="OQY46" s="656"/>
      <c r="OQZ46" s="657"/>
      <c r="ORA46" s="656"/>
      <c r="ORB46" s="658"/>
      <c r="ORC46" s="656"/>
      <c r="ORD46" s="658"/>
      <c r="ORG46" s="288"/>
      <c r="ORH46" s="312"/>
      <c r="ORI46" s="482"/>
      <c r="ORJ46" s="312"/>
      <c r="ORK46" s="656"/>
      <c r="ORL46" s="657"/>
      <c r="ORM46" s="656"/>
      <c r="ORN46" s="657"/>
      <c r="ORO46" s="656"/>
      <c r="ORP46" s="658"/>
      <c r="ORQ46" s="656"/>
      <c r="ORR46" s="658"/>
      <c r="ORU46" s="288"/>
      <c r="ORV46" s="312"/>
      <c r="ORW46" s="482"/>
      <c r="ORX46" s="312"/>
      <c r="ORY46" s="656"/>
      <c r="ORZ46" s="657"/>
      <c r="OSA46" s="656"/>
      <c r="OSB46" s="657"/>
      <c r="OSC46" s="656"/>
      <c r="OSD46" s="658"/>
      <c r="OSE46" s="656"/>
      <c r="OSF46" s="658"/>
      <c r="OSI46" s="288"/>
      <c r="OSJ46" s="312"/>
      <c r="OSK46" s="482"/>
      <c r="OSL46" s="312"/>
      <c r="OSM46" s="656"/>
      <c r="OSN46" s="657"/>
      <c r="OSO46" s="656"/>
      <c r="OSP46" s="657"/>
      <c r="OSQ46" s="656"/>
      <c r="OSR46" s="658"/>
      <c r="OSS46" s="656"/>
      <c r="OST46" s="658"/>
      <c r="OSW46" s="288"/>
      <c r="OSX46" s="312"/>
      <c r="OSY46" s="482"/>
      <c r="OSZ46" s="312"/>
      <c r="OTA46" s="656"/>
      <c r="OTB46" s="657"/>
      <c r="OTC46" s="656"/>
      <c r="OTD46" s="657"/>
      <c r="OTE46" s="656"/>
      <c r="OTF46" s="658"/>
      <c r="OTG46" s="656"/>
      <c r="OTH46" s="658"/>
      <c r="OTK46" s="288"/>
      <c r="OTL46" s="312"/>
      <c r="OTM46" s="482"/>
      <c r="OTN46" s="312"/>
      <c r="OTO46" s="656"/>
      <c r="OTP46" s="657"/>
      <c r="OTQ46" s="656"/>
      <c r="OTR46" s="657"/>
      <c r="OTS46" s="656"/>
      <c r="OTT46" s="658"/>
      <c r="OTU46" s="656"/>
      <c r="OTV46" s="658"/>
      <c r="OTY46" s="288"/>
      <c r="OTZ46" s="312"/>
      <c r="OUA46" s="482"/>
      <c r="OUB46" s="312"/>
      <c r="OUC46" s="656"/>
      <c r="OUD46" s="657"/>
      <c r="OUE46" s="656"/>
      <c r="OUF46" s="657"/>
      <c r="OUG46" s="656"/>
      <c r="OUH46" s="658"/>
      <c r="OUI46" s="656"/>
      <c r="OUJ46" s="658"/>
      <c r="OUM46" s="288"/>
      <c r="OUN46" s="312"/>
      <c r="OUO46" s="482"/>
      <c r="OUP46" s="312"/>
      <c r="OUQ46" s="656"/>
      <c r="OUR46" s="657"/>
      <c r="OUS46" s="656"/>
      <c r="OUT46" s="657"/>
      <c r="OUU46" s="656"/>
      <c r="OUV46" s="658"/>
      <c r="OUW46" s="656"/>
      <c r="OUX46" s="658"/>
      <c r="OVA46" s="288"/>
      <c r="OVB46" s="312"/>
      <c r="OVC46" s="482"/>
      <c r="OVD46" s="312"/>
      <c r="OVE46" s="656"/>
      <c r="OVF46" s="657"/>
      <c r="OVG46" s="656"/>
      <c r="OVH46" s="657"/>
      <c r="OVI46" s="656"/>
      <c r="OVJ46" s="658"/>
      <c r="OVK46" s="656"/>
      <c r="OVL46" s="658"/>
      <c r="OVO46" s="288"/>
      <c r="OVP46" s="312"/>
      <c r="OVQ46" s="482"/>
      <c r="OVR46" s="312"/>
      <c r="OVS46" s="656"/>
      <c r="OVT46" s="657"/>
      <c r="OVU46" s="656"/>
      <c r="OVV46" s="657"/>
      <c r="OVW46" s="656"/>
      <c r="OVX46" s="658"/>
      <c r="OVY46" s="656"/>
      <c r="OVZ46" s="658"/>
      <c r="OWC46" s="288"/>
      <c r="OWD46" s="312"/>
      <c r="OWE46" s="482"/>
      <c r="OWF46" s="312"/>
      <c r="OWG46" s="656"/>
      <c r="OWH46" s="657"/>
      <c r="OWI46" s="656"/>
      <c r="OWJ46" s="657"/>
      <c r="OWK46" s="656"/>
      <c r="OWL46" s="658"/>
      <c r="OWM46" s="656"/>
      <c r="OWN46" s="658"/>
      <c r="OWQ46" s="288"/>
      <c r="OWR46" s="312"/>
      <c r="OWS46" s="482"/>
      <c r="OWT46" s="312"/>
      <c r="OWU46" s="656"/>
      <c r="OWV46" s="657"/>
      <c r="OWW46" s="656"/>
      <c r="OWX46" s="657"/>
      <c r="OWY46" s="656"/>
      <c r="OWZ46" s="658"/>
      <c r="OXA46" s="656"/>
      <c r="OXB46" s="658"/>
      <c r="OXE46" s="288"/>
      <c r="OXF46" s="312"/>
      <c r="OXG46" s="482"/>
      <c r="OXH46" s="312"/>
      <c r="OXI46" s="656"/>
      <c r="OXJ46" s="657"/>
      <c r="OXK46" s="656"/>
      <c r="OXL46" s="657"/>
      <c r="OXM46" s="656"/>
      <c r="OXN46" s="658"/>
      <c r="OXO46" s="656"/>
      <c r="OXP46" s="658"/>
      <c r="OXS46" s="288"/>
      <c r="OXT46" s="312"/>
      <c r="OXU46" s="482"/>
      <c r="OXV46" s="312"/>
      <c r="OXW46" s="656"/>
      <c r="OXX46" s="657"/>
      <c r="OXY46" s="656"/>
      <c r="OXZ46" s="657"/>
      <c r="OYA46" s="656"/>
      <c r="OYB46" s="658"/>
      <c r="OYC46" s="656"/>
      <c r="OYD46" s="658"/>
      <c r="OYG46" s="288"/>
      <c r="OYH46" s="312"/>
      <c r="OYI46" s="482"/>
      <c r="OYJ46" s="312"/>
      <c r="OYK46" s="656"/>
      <c r="OYL46" s="657"/>
      <c r="OYM46" s="656"/>
      <c r="OYN46" s="657"/>
      <c r="OYO46" s="656"/>
      <c r="OYP46" s="658"/>
      <c r="OYQ46" s="656"/>
      <c r="OYR46" s="658"/>
      <c r="OYU46" s="288"/>
      <c r="OYV46" s="312"/>
      <c r="OYW46" s="482"/>
      <c r="OYX46" s="312"/>
      <c r="OYY46" s="656"/>
      <c r="OYZ46" s="657"/>
      <c r="OZA46" s="656"/>
      <c r="OZB46" s="657"/>
      <c r="OZC46" s="656"/>
      <c r="OZD46" s="658"/>
      <c r="OZE46" s="656"/>
      <c r="OZF46" s="658"/>
      <c r="OZI46" s="288"/>
      <c r="OZJ46" s="312"/>
      <c r="OZK46" s="482"/>
      <c r="OZL46" s="312"/>
      <c r="OZM46" s="656"/>
      <c r="OZN46" s="657"/>
      <c r="OZO46" s="656"/>
      <c r="OZP46" s="657"/>
      <c r="OZQ46" s="656"/>
      <c r="OZR46" s="658"/>
      <c r="OZS46" s="656"/>
      <c r="OZT46" s="658"/>
      <c r="OZW46" s="288"/>
      <c r="OZX46" s="312"/>
      <c r="OZY46" s="482"/>
      <c r="OZZ46" s="312"/>
      <c r="PAA46" s="656"/>
      <c r="PAB46" s="657"/>
      <c r="PAC46" s="656"/>
      <c r="PAD46" s="657"/>
      <c r="PAE46" s="656"/>
      <c r="PAF46" s="658"/>
      <c r="PAG46" s="656"/>
      <c r="PAH46" s="658"/>
      <c r="PAK46" s="288"/>
      <c r="PAL46" s="312"/>
      <c r="PAM46" s="482"/>
      <c r="PAN46" s="312"/>
      <c r="PAO46" s="656"/>
      <c r="PAP46" s="657"/>
      <c r="PAQ46" s="656"/>
      <c r="PAR46" s="657"/>
      <c r="PAS46" s="656"/>
      <c r="PAT46" s="658"/>
      <c r="PAU46" s="656"/>
      <c r="PAV46" s="658"/>
      <c r="PAY46" s="288"/>
      <c r="PAZ46" s="312"/>
      <c r="PBA46" s="482"/>
      <c r="PBB46" s="312"/>
      <c r="PBC46" s="656"/>
      <c r="PBD46" s="657"/>
      <c r="PBE46" s="656"/>
      <c r="PBF46" s="657"/>
      <c r="PBG46" s="656"/>
      <c r="PBH46" s="658"/>
      <c r="PBI46" s="656"/>
      <c r="PBJ46" s="658"/>
      <c r="PBM46" s="288"/>
      <c r="PBN46" s="312"/>
      <c r="PBO46" s="482"/>
      <c r="PBP46" s="312"/>
      <c r="PBQ46" s="656"/>
      <c r="PBR46" s="657"/>
      <c r="PBS46" s="656"/>
      <c r="PBT46" s="657"/>
      <c r="PBU46" s="656"/>
      <c r="PBV46" s="658"/>
      <c r="PBW46" s="656"/>
      <c r="PBX46" s="658"/>
      <c r="PCA46" s="288"/>
      <c r="PCB46" s="312"/>
      <c r="PCC46" s="482"/>
      <c r="PCD46" s="312"/>
      <c r="PCE46" s="656"/>
      <c r="PCF46" s="657"/>
      <c r="PCG46" s="656"/>
      <c r="PCH46" s="657"/>
      <c r="PCI46" s="656"/>
      <c r="PCJ46" s="658"/>
      <c r="PCK46" s="656"/>
      <c r="PCL46" s="658"/>
      <c r="PCO46" s="288"/>
      <c r="PCP46" s="312"/>
      <c r="PCQ46" s="482"/>
      <c r="PCR46" s="312"/>
      <c r="PCS46" s="656"/>
      <c r="PCT46" s="657"/>
      <c r="PCU46" s="656"/>
      <c r="PCV46" s="657"/>
      <c r="PCW46" s="656"/>
      <c r="PCX46" s="658"/>
      <c r="PCY46" s="656"/>
      <c r="PCZ46" s="658"/>
      <c r="PDC46" s="288"/>
      <c r="PDD46" s="312"/>
      <c r="PDE46" s="482"/>
      <c r="PDF46" s="312"/>
      <c r="PDG46" s="656"/>
      <c r="PDH46" s="657"/>
      <c r="PDI46" s="656"/>
      <c r="PDJ46" s="657"/>
      <c r="PDK46" s="656"/>
      <c r="PDL46" s="658"/>
      <c r="PDM46" s="656"/>
      <c r="PDN46" s="658"/>
      <c r="PDQ46" s="288"/>
      <c r="PDR46" s="312"/>
      <c r="PDS46" s="482"/>
      <c r="PDT46" s="312"/>
      <c r="PDU46" s="656"/>
      <c r="PDV46" s="657"/>
      <c r="PDW46" s="656"/>
      <c r="PDX46" s="657"/>
      <c r="PDY46" s="656"/>
      <c r="PDZ46" s="658"/>
      <c r="PEA46" s="656"/>
      <c r="PEB46" s="658"/>
      <c r="PEE46" s="288"/>
      <c r="PEF46" s="312"/>
      <c r="PEG46" s="482"/>
      <c r="PEH46" s="312"/>
      <c r="PEI46" s="656"/>
      <c r="PEJ46" s="657"/>
      <c r="PEK46" s="656"/>
      <c r="PEL46" s="657"/>
      <c r="PEM46" s="656"/>
      <c r="PEN46" s="658"/>
      <c r="PEO46" s="656"/>
      <c r="PEP46" s="658"/>
      <c r="PES46" s="288"/>
      <c r="PET46" s="312"/>
      <c r="PEU46" s="482"/>
      <c r="PEV46" s="312"/>
      <c r="PEW46" s="656"/>
      <c r="PEX46" s="657"/>
      <c r="PEY46" s="656"/>
      <c r="PEZ46" s="657"/>
      <c r="PFA46" s="656"/>
      <c r="PFB46" s="658"/>
      <c r="PFC46" s="656"/>
      <c r="PFD46" s="658"/>
      <c r="PFG46" s="288"/>
      <c r="PFH46" s="312"/>
      <c r="PFI46" s="482"/>
      <c r="PFJ46" s="312"/>
      <c r="PFK46" s="656"/>
      <c r="PFL46" s="657"/>
      <c r="PFM46" s="656"/>
      <c r="PFN46" s="657"/>
      <c r="PFO46" s="656"/>
      <c r="PFP46" s="658"/>
      <c r="PFQ46" s="656"/>
      <c r="PFR46" s="658"/>
      <c r="PFU46" s="288"/>
      <c r="PFV46" s="312"/>
      <c r="PFW46" s="482"/>
      <c r="PFX46" s="312"/>
      <c r="PFY46" s="656"/>
      <c r="PFZ46" s="657"/>
      <c r="PGA46" s="656"/>
      <c r="PGB46" s="657"/>
      <c r="PGC46" s="656"/>
      <c r="PGD46" s="658"/>
      <c r="PGE46" s="656"/>
      <c r="PGF46" s="658"/>
      <c r="PGI46" s="288"/>
      <c r="PGJ46" s="312"/>
      <c r="PGK46" s="482"/>
      <c r="PGL46" s="312"/>
      <c r="PGM46" s="656"/>
      <c r="PGN46" s="657"/>
      <c r="PGO46" s="656"/>
      <c r="PGP46" s="657"/>
      <c r="PGQ46" s="656"/>
      <c r="PGR46" s="658"/>
      <c r="PGS46" s="656"/>
      <c r="PGT46" s="658"/>
      <c r="PGW46" s="288"/>
      <c r="PGX46" s="312"/>
      <c r="PGY46" s="482"/>
      <c r="PGZ46" s="312"/>
      <c r="PHA46" s="656"/>
      <c r="PHB46" s="657"/>
      <c r="PHC46" s="656"/>
      <c r="PHD46" s="657"/>
      <c r="PHE46" s="656"/>
      <c r="PHF46" s="658"/>
      <c r="PHG46" s="656"/>
      <c r="PHH46" s="658"/>
      <c r="PHK46" s="288"/>
      <c r="PHL46" s="312"/>
      <c r="PHM46" s="482"/>
      <c r="PHN46" s="312"/>
      <c r="PHO46" s="656"/>
      <c r="PHP46" s="657"/>
      <c r="PHQ46" s="656"/>
      <c r="PHR46" s="657"/>
      <c r="PHS46" s="656"/>
      <c r="PHT46" s="658"/>
      <c r="PHU46" s="656"/>
      <c r="PHV46" s="658"/>
      <c r="PHY46" s="288"/>
      <c r="PHZ46" s="312"/>
      <c r="PIA46" s="482"/>
      <c r="PIB46" s="312"/>
      <c r="PIC46" s="656"/>
      <c r="PID46" s="657"/>
      <c r="PIE46" s="656"/>
      <c r="PIF46" s="657"/>
      <c r="PIG46" s="656"/>
      <c r="PIH46" s="658"/>
      <c r="PII46" s="656"/>
      <c r="PIJ46" s="658"/>
      <c r="PIM46" s="288"/>
      <c r="PIN46" s="312"/>
      <c r="PIO46" s="482"/>
      <c r="PIP46" s="312"/>
      <c r="PIQ46" s="656"/>
      <c r="PIR46" s="657"/>
      <c r="PIS46" s="656"/>
      <c r="PIT46" s="657"/>
      <c r="PIU46" s="656"/>
      <c r="PIV46" s="658"/>
      <c r="PIW46" s="656"/>
      <c r="PIX46" s="658"/>
      <c r="PJA46" s="288"/>
      <c r="PJB46" s="312"/>
      <c r="PJC46" s="482"/>
      <c r="PJD46" s="312"/>
      <c r="PJE46" s="656"/>
      <c r="PJF46" s="657"/>
      <c r="PJG46" s="656"/>
      <c r="PJH46" s="657"/>
      <c r="PJI46" s="656"/>
      <c r="PJJ46" s="658"/>
      <c r="PJK46" s="656"/>
      <c r="PJL46" s="658"/>
      <c r="PJO46" s="288"/>
      <c r="PJP46" s="312"/>
      <c r="PJQ46" s="482"/>
      <c r="PJR46" s="312"/>
      <c r="PJS46" s="656"/>
      <c r="PJT46" s="657"/>
      <c r="PJU46" s="656"/>
      <c r="PJV46" s="657"/>
      <c r="PJW46" s="656"/>
      <c r="PJX46" s="658"/>
      <c r="PJY46" s="656"/>
      <c r="PJZ46" s="658"/>
      <c r="PKC46" s="288"/>
      <c r="PKD46" s="312"/>
      <c r="PKE46" s="482"/>
      <c r="PKF46" s="312"/>
      <c r="PKG46" s="656"/>
      <c r="PKH46" s="657"/>
      <c r="PKI46" s="656"/>
      <c r="PKJ46" s="657"/>
      <c r="PKK46" s="656"/>
      <c r="PKL46" s="658"/>
      <c r="PKM46" s="656"/>
      <c r="PKN46" s="658"/>
      <c r="PKQ46" s="288"/>
      <c r="PKR46" s="312"/>
      <c r="PKS46" s="482"/>
      <c r="PKT46" s="312"/>
      <c r="PKU46" s="656"/>
      <c r="PKV46" s="657"/>
      <c r="PKW46" s="656"/>
      <c r="PKX46" s="657"/>
      <c r="PKY46" s="656"/>
      <c r="PKZ46" s="658"/>
      <c r="PLA46" s="656"/>
      <c r="PLB46" s="658"/>
      <c r="PLE46" s="288"/>
      <c r="PLF46" s="312"/>
      <c r="PLG46" s="482"/>
      <c r="PLH46" s="312"/>
      <c r="PLI46" s="656"/>
      <c r="PLJ46" s="657"/>
      <c r="PLK46" s="656"/>
      <c r="PLL46" s="657"/>
      <c r="PLM46" s="656"/>
      <c r="PLN46" s="658"/>
      <c r="PLO46" s="656"/>
      <c r="PLP46" s="658"/>
      <c r="PLS46" s="288"/>
      <c r="PLT46" s="312"/>
      <c r="PLU46" s="482"/>
      <c r="PLV46" s="312"/>
      <c r="PLW46" s="656"/>
      <c r="PLX46" s="657"/>
      <c r="PLY46" s="656"/>
      <c r="PLZ46" s="657"/>
      <c r="PMA46" s="656"/>
      <c r="PMB46" s="658"/>
      <c r="PMC46" s="656"/>
      <c r="PMD46" s="658"/>
      <c r="PMG46" s="288"/>
      <c r="PMH46" s="312"/>
      <c r="PMI46" s="482"/>
      <c r="PMJ46" s="312"/>
      <c r="PMK46" s="656"/>
      <c r="PML46" s="657"/>
      <c r="PMM46" s="656"/>
      <c r="PMN46" s="657"/>
      <c r="PMO46" s="656"/>
      <c r="PMP46" s="658"/>
      <c r="PMQ46" s="656"/>
      <c r="PMR46" s="658"/>
      <c r="PMU46" s="288"/>
      <c r="PMV46" s="312"/>
      <c r="PMW46" s="482"/>
      <c r="PMX46" s="312"/>
      <c r="PMY46" s="656"/>
      <c r="PMZ46" s="657"/>
      <c r="PNA46" s="656"/>
      <c r="PNB46" s="657"/>
      <c r="PNC46" s="656"/>
      <c r="PND46" s="658"/>
      <c r="PNE46" s="656"/>
      <c r="PNF46" s="658"/>
      <c r="PNI46" s="288"/>
      <c r="PNJ46" s="312"/>
      <c r="PNK46" s="482"/>
      <c r="PNL46" s="312"/>
      <c r="PNM46" s="656"/>
      <c r="PNN46" s="657"/>
      <c r="PNO46" s="656"/>
      <c r="PNP46" s="657"/>
      <c r="PNQ46" s="656"/>
      <c r="PNR46" s="658"/>
      <c r="PNS46" s="656"/>
      <c r="PNT46" s="658"/>
      <c r="PNW46" s="288"/>
      <c r="PNX46" s="312"/>
      <c r="PNY46" s="482"/>
      <c r="PNZ46" s="312"/>
      <c r="POA46" s="656"/>
      <c r="POB46" s="657"/>
      <c r="POC46" s="656"/>
      <c r="POD46" s="657"/>
      <c r="POE46" s="656"/>
      <c r="POF46" s="658"/>
      <c r="POG46" s="656"/>
      <c r="POH46" s="658"/>
      <c r="POK46" s="288"/>
      <c r="POL46" s="312"/>
      <c r="POM46" s="482"/>
      <c r="PON46" s="312"/>
      <c r="POO46" s="656"/>
      <c r="POP46" s="657"/>
      <c r="POQ46" s="656"/>
      <c r="POR46" s="657"/>
      <c r="POS46" s="656"/>
      <c r="POT46" s="658"/>
      <c r="POU46" s="656"/>
      <c r="POV46" s="658"/>
      <c r="POY46" s="288"/>
      <c r="POZ46" s="312"/>
      <c r="PPA46" s="482"/>
      <c r="PPB46" s="312"/>
      <c r="PPC46" s="656"/>
      <c r="PPD46" s="657"/>
      <c r="PPE46" s="656"/>
      <c r="PPF46" s="657"/>
      <c r="PPG46" s="656"/>
      <c r="PPH46" s="658"/>
      <c r="PPI46" s="656"/>
      <c r="PPJ46" s="658"/>
      <c r="PPM46" s="288"/>
      <c r="PPN46" s="312"/>
      <c r="PPO46" s="482"/>
      <c r="PPP46" s="312"/>
      <c r="PPQ46" s="656"/>
      <c r="PPR46" s="657"/>
      <c r="PPS46" s="656"/>
      <c r="PPT46" s="657"/>
      <c r="PPU46" s="656"/>
      <c r="PPV46" s="658"/>
      <c r="PPW46" s="656"/>
      <c r="PPX46" s="658"/>
      <c r="PQA46" s="288"/>
      <c r="PQB46" s="312"/>
      <c r="PQC46" s="482"/>
      <c r="PQD46" s="312"/>
      <c r="PQE46" s="656"/>
      <c r="PQF46" s="657"/>
      <c r="PQG46" s="656"/>
      <c r="PQH46" s="657"/>
      <c r="PQI46" s="656"/>
      <c r="PQJ46" s="658"/>
      <c r="PQK46" s="656"/>
      <c r="PQL46" s="658"/>
      <c r="PQO46" s="288"/>
      <c r="PQP46" s="312"/>
      <c r="PQQ46" s="482"/>
      <c r="PQR46" s="312"/>
      <c r="PQS46" s="656"/>
      <c r="PQT46" s="657"/>
      <c r="PQU46" s="656"/>
      <c r="PQV46" s="657"/>
      <c r="PQW46" s="656"/>
      <c r="PQX46" s="658"/>
      <c r="PQY46" s="656"/>
      <c r="PQZ46" s="658"/>
      <c r="PRC46" s="288"/>
      <c r="PRD46" s="312"/>
      <c r="PRE46" s="482"/>
      <c r="PRF46" s="312"/>
      <c r="PRG46" s="656"/>
      <c r="PRH46" s="657"/>
      <c r="PRI46" s="656"/>
      <c r="PRJ46" s="657"/>
      <c r="PRK46" s="656"/>
      <c r="PRL46" s="658"/>
      <c r="PRM46" s="656"/>
      <c r="PRN46" s="658"/>
      <c r="PRQ46" s="288"/>
      <c r="PRR46" s="312"/>
      <c r="PRS46" s="482"/>
      <c r="PRT46" s="312"/>
      <c r="PRU46" s="656"/>
      <c r="PRV46" s="657"/>
      <c r="PRW46" s="656"/>
      <c r="PRX46" s="657"/>
      <c r="PRY46" s="656"/>
      <c r="PRZ46" s="658"/>
      <c r="PSA46" s="656"/>
      <c r="PSB46" s="658"/>
      <c r="PSE46" s="288"/>
      <c r="PSF46" s="312"/>
      <c r="PSG46" s="482"/>
      <c r="PSH46" s="312"/>
      <c r="PSI46" s="656"/>
      <c r="PSJ46" s="657"/>
      <c r="PSK46" s="656"/>
      <c r="PSL46" s="657"/>
      <c r="PSM46" s="656"/>
      <c r="PSN46" s="658"/>
      <c r="PSO46" s="656"/>
      <c r="PSP46" s="658"/>
      <c r="PSS46" s="288"/>
      <c r="PST46" s="312"/>
      <c r="PSU46" s="482"/>
      <c r="PSV46" s="312"/>
      <c r="PSW46" s="656"/>
      <c r="PSX46" s="657"/>
      <c r="PSY46" s="656"/>
      <c r="PSZ46" s="657"/>
      <c r="PTA46" s="656"/>
      <c r="PTB46" s="658"/>
      <c r="PTC46" s="656"/>
      <c r="PTD46" s="658"/>
      <c r="PTG46" s="288"/>
      <c r="PTH46" s="312"/>
      <c r="PTI46" s="482"/>
      <c r="PTJ46" s="312"/>
      <c r="PTK46" s="656"/>
      <c r="PTL46" s="657"/>
      <c r="PTM46" s="656"/>
      <c r="PTN46" s="657"/>
      <c r="PTO46" s="656"/>
      <c r="PTP46" s="658"/>
      <c r="PTQ46" s="656"/>
      <c r="PTR46" s="658"/>
      <c r="PTU46" s="288"/>
      <c r="PTV46" s="312"/>
      <c r="PTW46" s="482"/>
      <c r="PTX46" s="312"/>
      <c r="PTY46" s="656"/>
      <c r="PTZ46" s="657"/>
      <c r="PUA46" s="656"/>
      <c r="PUB46" s="657"/>
      <c r="PUC46" s="656"/>
      <c r="PUD46" s="658"/>
      <c r="PUE46" s="656"/>
      <c r="PUF46" s="658"/>
      <c r="PUI46" s="288"/>
      <c r="PUJ46" s="312"/>
      <c r="PUK46" s="482"/>
      <c r="PUL46" s="312"/>
      <c r="PUM46" s="656"/>
      <c r="PUN46" s="657"/>
      <c r="PUO46" s="656"/>
      <c r="PUP46" s="657"/>
      <c r="PUQ46" s="656"/>
      <c r="PUR46" s="658"/>
      <c r="PUS46" s="656"/>
      <c r="PUT46" s="658"/>
      <c r="PUW46" s="288"/>
      <c r="PUX46" s="312"/>
      <c r="PUY46" s="482"/>
      <c r="PUZ46" s="312"/>
      <c r="PVA46" s="656"/>
      <c r="PVB46" s="657"/>
      <c r="PVC46" s="656"/>
      <c r="PVD46" s="657"/>
      <c r="PVE46" s="656"/>
      <c r="PVF46" s="658"/>
      <c r="PVG46" s="656"/>
      <c r="PVH46" s="658"/>
      <c r="PVK46" s="288"/>
      <c r="PVL46" s="312"/>
      <c r="PVM46" s="482"/>
      <c r="PVN46" s="312"/>
      <c r="PVO46" s="656"/>
      <c r="PVP46" s="657"/>
      <c r="PVQ46" s="656"/>
      <c r="PVR46" s="657"/>
      <c r="PVS46" s="656"/>
      <c r="PVT46" s="658"/>
      <c r="PVU46" s="656"/>
      <c r="PVV46" s="658"/>
      <c r="PVY46" s="288"/>
      <c r="PVZ46" s="312"/>
      <c r="PWA46" s="482"/>
      <c r="PWB46" s="312"/>
      <c r="PWC46" s="656"/>
      <c r="PWD46" s="657"/>
      <c r="PWE46" s="656"/>
      <c r="PWF46" s="657"/>
      <c r="PWG46" s="656"/>
      <c r="PWH46" s="658"/>
      <c r="PWI46" s="656"/>
      <c r="PWJ46" s="658"/>
      <c r="PWM46" s="288"/>
      <c r="PWN46" s="312"/>
      <c r="PWO46" s="482"/>
      <c r="PWP46" s="312"/>
      <c r="PWQ46" s="656"/>
      <c r="PWR46" s="657"/>
      <c r="PWS46" s="656"/>
      <c r="PWT46" s="657"/>
      <c r="PWU46" s="656"/>
      <c r="PWV46" s="658"/>
      <c r="PWW46" s="656"/>
      <c r="PWX46" s="658"/>
      <c r="PXA46" s="288"/>
      <c r="PXB46" s="312"/>
      <c r="PXC46" s="482"/>
      <c r="PXD46" s="312"/>
      <c r="PXE46" s="656"/>
      <c r="PXF46" s="657"/>
      <c r="PXG46" s="656"/>
      <c r="PXH46" s="657"/>
      <c r="PXI46" s="656"/>
      <c r="PXJ46" s="658"/>
      <c r="PXK46" s="656"/>
      <c r="PXL46" s="658"/>
      <c r="PXO46" s="288"/>
      <c r="PXP46" s="312"/>
      <c r="PXQ46" s="482"/>
      <c r="PXR46" s="312"/>
      <c r="PXS46" s="656"/>
      <c r="PXT46" s="657"/>
      <c r="PXU46" s="656"/>
      <c r="PXV46" s="657"/>
      <c r="PXW46" s="656"/>
      <c r="PXX46" s="658"/>
      <c r="PXY46" s="656"/>
      <c r="PXZ46" s="658"/>
      <c r="PYC46" s="288"/>
      <c r="PYD46" s="312"/>
      <c r="PYE46" s="482"/>
      <c r="PYF46" s="312"/>
      <c r="PYG46" s="656"/>
      <c r="PYH46" s="657"/>
      <c r="PYI46" s="656"/>
      <c r="PYJ46" s="657"/>
      <c r="PYK46" s="656"/>
      <c r="PYL46" s="658"/>
      <c r="PYM46" s="656"/>
      <c r="PYN46" s="658"/>
      <c r="PYQ46" s="288"/>
      <c r="PYR46" s="312"/>
      <c r="PYS46" s="482"/>
      <c r="PYT46" s="312"/>
      <c r="PYU46" s="656"/>
      <c r="PYV46" s="657"/>
      <c r="PYW46" s="656"/>
      <c r="PYX46" s="657"/>
      <c r="PYY46" s="656"/>
      <c r="PYZ46" s="658"/>
      <c r="PZA46" s="656"/>
      <c r="PZB46" s="658"/>
      <c r="PZE46" s="288"/>
      <c r="PZF46" s="312"/>
      <c r="PZG46" s="482"/>
      <c r="PZH46" s="312"/>
      <c r="PZI46" s="656"/>
      <c r="PZJ46" s="657"/>
      <c r="PZK46" s="656"/>
      <c r="PZL46" s="657"/>
      <c r="PZM46" s="656"/>
      <c r="PZN46" s="658"/>
      <c r="PZO46" s="656"/>
      <c r="PZP46" s="658"/>
      <c r="PZS46" s="288"/>
      <c r="PZT46" s="312"/>
      <c r="PZU46" s="482"/>
      <c r="PZV46" s="312"/>
      <c r="PZW46" s="656"/>
      <c r="PZX46" s="657"/>
      <c r="PZY46" s="656"/>
      <c r="PZZ46" s="657"/>
      <c r="QAA46" s="656"/>
      <c r="QAB46" s="658"/>
      <c r="QAC46" s="656"/>
      <c r="QAD46" s="658"/>
      <c r="QAG46" s="288"/>
      <c r="QAH46" s="312"/>
      <c r="QAI46" s="482"/>
      <c r="QAJ46" s="312"/>
      <c r="QAK46" s="656"/>
      <c r="QAL46" s="657"/>
      <c r="QAM46" s="656"/>
      <c r="QAN46" s="657"/>
      <c r="QAO46" s="656"/>
      <c r="QAP46" s="658"/>
      <c r="QAQ46" s="656"/>
      <c r="QAR46" s="658"/>
      <c r="QAU46" s="288"/>
      <c r="QAV46" s="312"/>
      <c r="QAW46" s="482"/>
      <c r="QAX46" s="312"/>
      <c r="QAY46" s="656"/>
      <c r="QAZ46" s="657"/>
      <c r="QBA46" s="656"/>
      <c r="QBB46" s="657"/>
      <c r="QBC46" s="656"/>
      <c r="QBD46" s="658"/>
      <c r="QBE46" s="656"/>
      <c r="QBF46" s="658"/>
      <c r="QBI46" s="288"/>
      <c r="QBJ46" s="312"/>
      <c r="QBK46" s="482"/>
      <c r="QBL46" s="312"/>
      <c r="QBM46" s="656"/>
      <c r="QBN46" s="657"/>
      <c r="QBO46" s="656"/>
      <c r="QBP46" s="657"/>
      <c r="QBQ46" s="656"/>
      <c r="QBR46" s="658"/>
      <c r="QBS46" s="656"/>
      <c r="QBT46" s="658"/>
      <c r="QBW46" s="288"/>
      <c r="QBX46" s="312"/>
      <c r="QBY46" s="482"/>
      <c r="QBZ46" s="312"/>
      <c r="QCA46" s="656"/>
      <c r="QCB46" s="657"/>
      <c r="QCC46" s="656"/>
      <c r="QCD46" s="657"/>
      <c r="QCE46" s="656"/>
      <c r="QCF46" s="658"/>
      <c r="QCG46" s="656"/>
      <c r="QCH46" s="658"/>
      <c r="QCK46" s="288"/>
      <c r="QCL46" s="312"/>
      <c r="QCM46" s="482"/>
      <c r="QCN46" s="312"/>
      <c r="QCO46" s="656"/>
      <c r="QCP46" s="657"/>
      <c r="QCQ46" s="656"/>
      <c r="QCR46" s="657"/>
      <c r="QCS46" s="656"/>
      <c r="QCT46" s="658"/>
      <c r="QCU46" s="656"/>
      <c r="QCV46" s="658"/>
      <c r="QCY46" s="288"/>
      <c r="QCZ46" s="312"/>
      <c r="QDA46" s="482"/>
      <c r="QDB46" s="312"/>
      <c r="QDC46" s="656"/>
      <c r="QDD46" s="657"/>
      <c r="QDE46" s="656"/>
      <c r="QDF46" s="657"/>
      <c r="QDG46" s="656"/>
      <c r="QDH46" s="658"/>
      <c r="QDI46" s="656"/>
      <c r="QDJ46" s="658"/>
      <c r="QDM46" s="288"/>
      <c r="QDN46" s="312"/>
      <c r="QDO46" s="482"/>
      <c r="QDP46" s="312"/>
      <c r="QDQ46" s="656"/>
      <c r="QDR46" s="657"/>
      <c r="QDS46" s="656"/>
      <c r="QDT46" s="657"/>
      <c r="QDU46" s="656"/>
      <c r="QDV46" s="658"/>
      <c r="QDW46" s="656"/>
      <c r="QDX46" s="658"/>
      <c r="QEA46" s="288"/>
      <c r="QEB46" s="312"/>
      <c r="QEC46" s="482"/>
      <c r="QED46" s="312"/>
      <c r="QEE46" s="656"/>
      <c r="QEF46" s="657"/>
      <c r="QEG46" s="656"/>
      <c r="QEH46" s="657"/>
      <c r="QEI46" s="656"/>
      <c r="QEJ46" s="658"/>
      <c r="QEK46" s="656"/>
      <c r="QEL46" s="658"/>
      <c r="QEO46" s="288"/>
      <c r="QEP46" s="312"/>
      <c r="QEQ46" s="482"/>
      <c r="QER46" s="312"/>
      <c r="QES46" s="656"/>
      <c r="QET46" s="657"/>
      <c r="QEU46" s="656"/>
      <c r="QEV46" s="657"/>
      <c r="QEW46" s="656"/>
      <c r="QEX46" s="658"/>
      <c r="QEY46" s="656"/>
      <c r="QEZ46" s="658"/>
      <c r="QFC46" s="288"/>
      <c r="QFD46" s="312"/>
      <c r="QFE46" s="482"/>
      <c r="QFF46" s="312"/>
      <c r="QFG46" s="656"/>
      <c r="QFH46" s="657"/>
      <c r="QFI46" s="656"/>
      <c r="QFJ46" s="657"/>
      <c r="QFK46" s="656"/>
      <c r="QFL46" s="658"/>
      <c r="QFM46" s="656"/>
      <c r="QFN46" s="658"/>
      <c r="QFQ46" s="288"/>
      <c r="QFR46" s="312"/>
      <c r="QFS46" s="482"/>
      <c r="QFT46" s="312"/>
      <c r="QFU46" s="656"/>
      <c r="QFV46" s="657"/>
      <c r="QFW46" s="656"/>
      <c r="QFX46" s="657"/>
      <c r="QFY46" s="656"/>
      <c r="QFZ46" s="658"/>
      <c r="QGA46" s="656"/>
      <c r="QGB46" s="658"/>
      <c r="QGE46" s="288"/>
      <c r="QGF46" s="312"/>
      <c r="QGG46" s="482"/>
      <c r="QGH46" s="312"/>
      <c r="QGI46" s="656"/>
      <c r="QGJ46" s="657"/>
      <c r="QGK46" s="656"/>
      <c r="QGL46" s="657"/>
      <c r="QGM46" s="656"/>
      <c r="QGN46" s="658"/>
      <c r="QGO46" s="656"/>
      <c r="QGP46" s="658"/>
      <c r="QGS46" s="288"/>
      <c r="QGT46" s="312"/>
      <c r="QGU46" s="482"/>
      <c r="QGV46" s="312"/>
      <c r="QGW46" s="656"/>
      <c r="QGX46" s="657"/>
      <c r="QGY46" s="656"/>
      <c r="QGZ46" s="657"/>
      <c r="QHA46" s="656"/>
      <c r="QHB46" s="658"/>
      <c r="QHC46" s="656"/>
      <c r="QHD46" s="658"/>
      <c r="QHG46" s="288"/>
      <c r="QHH46" s="312"/>
      <c r="QHI46" s="482"/>
      <c r="QHJ46" s="312"/>
      <c r="QHK46" s="656"/>
      <c r="QHL46" s="657"/>
      <c r="QHM46" s="656"/>
      <c r="QHN46" s="657"/>
      <c r="QHO46" s="656"/>
      <c r="QHP46" s="658"/>
      <c r="QHQ46" s="656"/>
      <c r="QHR46" s="658"/>
      <c r="QHU46" s="288"/>
      <c r="QHV46" s="312"/>
      <c r="QHW46" s="482"/>
      <c r="QHX46" s="312"/>
      <c r="QHY46" s="656"/>
      <c r="QHZ46" s="657"/>
      <c r="QIA46" s="656"/>
      <c r="QIB46" s="657"/>
      <c r="QIC46" s="656"/>
      <c r="QID46" s="658"/>
      <c r="QIE46" s="656"/>
      <c r="QIF46" s="658"/>
      <c r="QII46" s="288"/>
      <c r="QIJ46" s="312"/>
      <c r="QIK46" s="482"/>
      <c r="QIL46" s="312"/>
      <c r="QIM46" s="656"/>
      <c r="QIN46" s="657"/>
      <c r="QIO46" s="656"/>
      <c r="QIP46" s="657"/>
      <c r="QIQ46" s="656"/>
      <c r="QIR46" s="658"/>
      <c r="QIS46" s="656"/>
      <c r="QIT46" s="658"/>
      <c r="QIW46" s="288"/>
      <c r="QIX46" s="312"/>
      <c r="QIY46" s="482"/>
      <c r="QIZ46" s="312"/>
      <c r="QJA46" s="656"/>
      <c r="QJB46" s="657"/>
      <c r="QJC46" s="656"/>
      <c r="QJD46" s="657"/>
      <c r="QJE46" s="656"/>
      <c r="QJF46" s="658"/>
      <c r="QJG46" s="656"/>
      <c r="QJH46" s="658"/>
      <c r="QJK46" s="288"/>
      <c r="QJL46" s="312"/>
      <c r="QJM46" s="482"/>
      <c r="QJN46" s="312"/>
      <c r="QJO46" s="656"/>
      <c r="QJP46" s="657"/>
      <c r="QJQ46" s="656"/>
      <c r="QJR46" s="657"/>
      <c r="QJS46" s="656"/>
      <c r="QJT46" s="658"/>
      <c r="QJU46" s="656"/>
      <c r="QJV46" s="658"/>
      <c r="QJY46" s="288"/>
      <c r="QJZ46" s="312"/>
      <c r="QKA46" s="482"/>
      <c r="QKB46" s="312"/>
      <c r="QKC46" s="656"/>
      <c r="QKD46" s="657"/>
      <c r="QKE46" s="656"/>
      <c r="QKF46" s="657"/>
      <c r="QKG46" s="656"/>
      <c r="QKH46" s="658"/>
      <c r="QKI46" s="656"/>
      <c r="QKJ46" s="658"/>
      <c r="QKM46" s="288"/>
      <c r="QKN46" s="312"/>
      <c r="QKO46" s="482"/>
      <c r="QKP46" s="312"/>
      <c r="QKQ46" s="656"/>
      <c r="QKR46" s="657"/>
      <c r="QKS46" s="656"/>
      <c r="QKT46" s="657"/>
      <c r="QKU46" s="656"/>
      <c r="QKV46" s="658"/>
      <c r="QKW46" s="656"/>
      <c r="QKX46" s="658"/>
      <c r="QLA46" s="288"/>
      <c r="QLB46" s="312"/>
      <c r="QLC46" s="482"/>
      <c r="QLD46" s="312"/>
      <c r="QLE46" s="656"/>
      <c r="QLF46" s="657"/>
      <c r="QLG46" s="656"/>
      <c r="QLH46" s="657"/>
      <c r="QLI46" s="656"/>
      <c r="QLJ46" s="658"/>
      <c r="QLK46" s="656"/>
      <c r="QLL46" s="658"/>
      <c r="QLO46" s="288"/>
      <c r="QLP46" s="312"/>
      <c r="QLQ46" s="482"/>
      <c r="QLR46" s="312"/>
      <c r="QLS46" s="656"/>
      <c r="QLT46" s="657"/>
      <c r="QLU46" s="656"/>
      <c r="QLV46" s="657"/>
      <c r="QLW46" s="656"/>
      <c r="QLX46" s="658"/>
      <c r="QLY46" s="656"/>
      <c r="QLZ46" s="658"/>
      <c r="QMC46" s="288"/>
      <c r="QMD46" s="312"/>
      <c r="QME46" s="482"/>
      <c r="QMF46" s="312"/>
      <c r="QMG46" s="656"/>
      <c r="QMH46" s="657"/>
      <c r="QMI46" s="656"/>
      <c r="QMJ46" s="657"/>
      <c r="QMK46" s="656"/>
      <c r="QML46" s="658"/>
      <c r="QMM46" s="656"/>
      <c r="QMN46" s="658"/>
      <c r="QMQ46" s="288"/>
      <c r="QMR46" s="312"/>
      <c r="QMS46" s="482"/>
      <c r="QMT46" s="312"/>
      <c r="QMU46" s="656"/>
      <c r="QMV46" s="657"/>
      <c r="QMW46" s="656"/>
      <c r="QMX46" s="657"/>
      <c r="QMY46" s="656"/>
      <c r="QMZ46" s="658"/>
      <c r="QNA46" s="656"/>
      <c r="QNB46" s="658"/>
      <c r="QNE46" s="288"/>
      <c r="QNF46" s="312"/>
      <c r="QNG46" s="482"/>
      <c r="QNH46" s="312"/>
      <c r="QNI46" s="656"/>
      <c r="QNJ46" s="657"/>
      <c r="QNK46" s="656"/>
      <c r="QNL46" s="657"/>
      <c r="QNM46" s="656"/>
      <c r="QNN46" s="658"/>
      <c r="QNO46" s="656"/>
      <c r="QNP46" s="658"/>
      <c r="QNS46" s="288"/>
      <c r="QNT46" s="312"/>
      <c r="QNU46" s="482"/>
      <c r="QNV46" s="312"/>
      <c r="QNW46" s="656"/>
      <c r="QNX46" s="657"/>
      <c r="QNY46" s="656"/>
      <c r="QNZ46" s="657"/>
      <c r="QOA46" s="656"/>
      <c r="QOB46" s="658"/>
      <c r="QOC46" s="656"/>
      <c r="QOD46" s="658"/>
      <c r="QOG46" s="288"/>
      <c r="QOH46" s="312"/>
      <c r="QOI46" s="482"/>
      <c r="QOJ46" s="312"/>
      <c r="QOK46" s="656"/>
      <c r="QOL46" s="657"/>
      <c r="QOM46" s="656"/>
      <c r="QON46" s="657"/>
      <c r="QOO46" s="656"/>
      <c r="QOP46" s="658"/>
      <c r="QOQ46" s="656"/>
      <c r="QOR46" s="658"/>
      <c r="QOU46" s="288"/>
      <c r="QOV46" s="312"/>
      <c r="QOW46" s="482"/>
      <c r="QOX46" s="312"/>
      <c r="QOY46" s="656"/>
      <c r="QOZ46" s="657"/>
      <c r="QPA46" s="656"/>
      <c r="QPB46" s="657"/>
      <c r="QPC46" s="656"/>
      <c r="QPD46" s="658"/>
      <c r="QPE46" s="656"/>
      <c r="QPF46" s="658"/>
      <c r="QPI46" s="288"/>
      <c r="QPJ46" s="312"/>
      <c r="QPK46" s="482"/>
      <c r="QPL46" s="312"/>
      <c r="QPM46" s="656"/>
      <c r="QPN46" s="657"/>
      <c r="QPO46" s="656"/>
      <c r="QPP46" s="657"/>
      <c r="QPQ46" s="656"/>
      <c r="QPR46" s="658"/>
      <c r="QPS46" s="656"/>
      <c r="QPT46" s="658"/>
      <c r="QPW46" s="288"/>
      <c r="QPX46" s="312"/>
      <c r="QPY46" s="482"/>
      <c r="QPZ46" s="312"/>
      <c r="QQA46" s="656"/>
      <c r="QQB46" s="657"/>
      <c r="QQC46" s="656"/>
      <c r="QQD46" s="657"/>
      <c r="QQE46" s="656"/>
      <c r="QQF46" s="658"/>
      <c r="QQG46" s="656"/>
      <c r="QQH46" s="658"/>
      <c r="QQK46" s="288"/>
      <c r="QQL46" s="312"/>
      <c r="QQM46" s="482"/>
      <c r="QQN46" s="312"/>
      <c r="QQO46" s="656"/>
      <c r="QQP46" s="657"/>
      <c r="QQQ46" s="656"/>
      <c r="QQR46" s="657"/>
      <c r="QQS46" s="656"/>
      <c r="QQT46" s="658"/>
      <c r="QQU46" s="656"/>
      <c r="QQV46" s="658"/>
      <c r="QQY46" s="288"/>
      <c r="QQZ46" s="312"/>
      <c r="QRA46" s="482"/>
      <c r="QRB46" s="312"/>
      <c r="QRC46" s="656"/>
      <c r="QRD46" s="657"/>
      <c r="QRE46" s="656"/>
      <c r="QRF46" s="657"/>
      <c r="QRG46" s="656"/>
      <c r="QRH46" s="658"/>
      <c r="QRI46" s="656"/>
      <c r="QRJ46" s="658"/>
      <c r="QRM46" s="288"/>
      <c r="QRN46" s="312"/>
      <c r="QRO46" s="482"/>
      <c r="QRP46" s="312"/>
      <c r="QRQ46" s="656"/>
      <c r="QRR46" s="657"/>
      <c r="QRS46" s="656"/>
      <c r="QRT46" s="657"/>
      <c r="QRU46" s="656"/>
      <c r="QRV46" s="658"/>
      <c r="QRW46" s="656"/>
      <c r="QRX46" s="658"/>
      <c r="QSA46" s="288"/>
      <c r="QSB46" s="312"/>
      <c r="QSC46" s="482"/>
      <c r="QSD46" s="312"/>
      <c r="QSE46" s="656"/>
      <c r="QSF46" s="657"/>
      <c r="QSG46" s="656"/>
      <c r="QSH46" s="657"/>
      <c r="QSI46" s="656"/>
      <c r="QSJ46" s="658"/>
      <c r="QSK46" s="656"/>
      <c r="QSL46" s="658"/>
      <c r="QSO46" s="288"/>
      <c r="QSP46" s="312"/>
      <c r="QSQ46" s="482"/>
      <c r="QSR46" s="312"/>
      <c r="QSS46" s="656"/>
      <c r="QST46" s="657"/>
      <c r="QSU46" s="656"/>
      <c r="QSV46" s="657"/>
      <c r="QSW46" s="656"/>
      <c r="QSX46" s="658"/>
      <c r="QSY46" s="656"/>
      <c r="QSZ46" s="658"/>
      <c r="QTC46" s="288"/>
      <c r="QTD46" s="312"/>
      <c r="QTE46" s="482"/>
      <c r="QTF46" s="312"/>
      <c r="QTG46" s="656"/>
      <c r="QTH46" s="657"/>
      <c r="QTI46" s="656"/>
      <c r="QTJ46" s="657"/>
      <c r="QTK46" s="656"/>
      <c r="QTL46" s="658"/>
      <c r="QTM46" s="656"/>
      <c r="QTN46" s="658"/>
      <c r="QTQ46" s="288"/>
      <c r="QTR46" s="312"/>
      <c r="QTS46" s="482"/>
      <c r="QTT46" s="312"/>
      <c r="QTU46" s="656"/>
      <c r="QTV46" s="657"/>
      <c r="QTW46" s="656"/>
      <c r="QTX46" s="657"/>
      <c r="QTY46" s="656"/>
      <c r="QTZ46" s="658"/>
      <c r="QUA46" s="656"/>
      <c r="QUB46" s="658"/>
      <c r="QUE46" s="288"/>
      <c r="QUF46" s="312"/>
      <c r="QUG46" s="482"/>
      <c r="QUH46" s="312"/>
      <c r="QUI46" s="656"/>
      <c r="QUJ46" s="657"/>
      <c r="QUK46" s="656"/>
      <c r="QUL46" s="657"/>
      <c r="QUM46" s="656"/>
      <c r="QUN46" s="658"/>
      <c r="QUO46" s="656"/>
      <c r="QUP46" s="658"/>
      <c r="QUS46" s="288"/>
      <c r="QUT46" s="312"/>
      <c r="QUU46" s="482"/>
      <c r="QUV46" s="312"/>
      <c r="QUW46" s="656"/>
      <c r="QUX46" s="657"/>
      <c r="QUY46" s="656"/>
      <c r="QUZ46" s="657"/>
      <c r="QVA46" s="656"/>
      <c r="QVB46" s="658"/>
      <c r="QVC46" s="656"/>
      <c r="QVD46" s="658"/>
      <c r="QVG46" s="288"/>
      <c r="QVH46" s="312"/>
      <c r="QVI46" s="482"/>
      <c r="QVJ46" s="312"/>
      <c r="QVK46" s="656"/>
      <c r="QVL46" s="657"/>
      <c r="QVM46" s="656"/>
      <c r="QVN46" s="657"/>
      <c r="QVO46" s="656"/>
      <c r="QVP46" s="658"/>
      <c r="QVQ46" s="656"/>
      <c r="QVR46" s="658"/>
      <c r="QVU46" s="288"/>
      <c r="QVV46" s="312"/>
      <c r="QVW46" s="482"/>
      <c r="QVX46" s="312"/>
      <c r="QVY46" s="656"/>
      <c r="QVZ46" s="657"/>
      <c r="QWA46" s="656"/>
      <c r="QWB46" s="657"/>
      <c r="QWC46" s="656"/>
      <c r="QWD46" s="658"/>
      <c r="QWE46" s="656"/>
      <c r="QWF46" s="658"/>
      <c r="QWI46" s="288"/>
      <c r="QWJ46" s="312"/>
      <c r="QWK46" s="482"/>
      <c r="QWL46" s="312"/>
      <c r="QWM46" s="656"/>
      <c r="QWN46" s="657"/>
      <c r="QWO46" s="656"/>
      <c r="QWP46" s="657"/>
      <c r="QWQ46" s="656"/>
      <c r="QWR46" s="658"/>
      <c r="QWS46" s="656"/>
      <c r="QWT46" s="658"/>
      <c r="QWW46" s="288"/>
      <c r="QWX46" s="312"/>
      <c r="QWY46" s="482"/>
      <c r="QWZ46" s="312"/>
      <c r="QXA46" s="656"/>
      <c r="QXB46" s="657"/>
      <c r="QXC46" s="656"/>
      <c r="QXD46" s="657"/>
      <c r="QXE46" s="656"/>
      <c r="QXF46" s="658"/>
      <c r="QXG46" s="656"/>
      <c r="QXH46" s="658"/>
      <c r="QXK46" s="288"/>
      <c r="QXL46" s="312"/>
      <c r="QXM46" s="482"/>
      <c r="QXN46" s="312"/>
      <c r="QXO46" s="656"/>
      <c r="QXP46" s="657"/>
      <c r="QXQ46" s="656"/>
      <c r="QXR46" s="657"/>
      <c r="QXS46" s="656"/>
      <c r="QXT46" s="658"/>
      <c r="QXU46" s="656"/>
      <c r="QXV46" s="658"/>
      <c r="QXY46" s="288"/>
      <c r="QXZ46" s="312"/>
      <c r="QYA46" s="482"/>
      <c r="QYB46" s="312"/>
      <c r="QYC46" s="656"/>
      <c r="QYD46" s="657"/>
      <c r="QYE46" s="656"/>
      <c r="QYF46" s="657"/>
      <c r="QYG46" s="656"/>
      <c r="QYH46" s="658"/>
      <c r="QYI46" s="656"/>
      <c r="QYJ46" s="658"/>
      <c r="QYM46" s="288"/>
      <c r="QYN46" s="312"/>
      <c r="QYO46" s="482"/>
      <c r="QYP46" s="312"/>
      <c r="QYQ46" s="656"/>
      <c r="QYR46" s="657"/>
      <c r="QYS46" s="656"/>
      <c r="QYT46" s="657"/>
      <c r="QYU46" s="656"/>
      <c r="QYV46" s="658"/>
      <c r="QYW46" s="656"/>
      <c r="QYX46" s="658"/>
      <c r="QZA46" s="288"/>
      <c r="QZB46" s="312"/>
      <c r="QZC46" s="482"/>
      <c r="QZD46" s="312"/>
      <c r="QZE46" s="656"/>
      <c r="QZF46" s="657"/>
      <c r="QZG46" s="656"/>
      <c r="QZH46" s="657"/>
      <c r="QZI46" s="656"/>
      <c r="QZJ46" s="658"/>
      <c r="QZK46" s="656"/>
      <c r="QZL46" s="658"/>
      <c r="QZO46" s="288"/>
      <c r="QZP46" s="312"/>
      <c r="QZQ46" s="482"/>
      <c r="QZR46" s="312"/>
      <c r="QZS46" s="656"/>
      <c r="QZT46" s="657"/>
      <c r="QZU46" s="656"/>
      <c r="QZV46" s="657"/>
      <c r="QZW46" s="656"/>
      <c r="QZX46" s="658"/>
      <c r="QZY46" s="656"/>
      <c r="QZZ46" s="658"/>
      <c r="RAC46" s="288"/>
      <c r="RAD46" s="312"/>
      <c r="RAE46" s="482"/>
      <c r="RAF46" s="312"/>
      <c r="RAG46" s="656"/>
      <c r="RAH46" s="657"/>
      <c r="RAI46" s="656"/>
      <c r="RAJ46" s="657"/>
      <c r="RAK46" s="656"/>
      <c r="RAL46" s="658"/>
      <c r="RAM46" s="656"/>
      <c r="RAN46" s="658"/>
      <c r="RAQ46" s="288"/>
      <c r="RAR46" s="312"/>
      <c r="RAS46" s="482"/>
      <c r="RAT46" s="312"/>
      <c r="RAU46" s="656"/>
      <c r="RAV46" s="657"/>
      <c r="RAW46" s="656"/>
      <c r="RAX46" s="657"/>
      <c r="RAY46" s="656"/>
      <c r="RAZ46" s="658"/>
      <c r="RBA46" s="656"/>
      <c r="RBB46" s="658"/>
      <c r="RBE46" s="288"/>
      <c r="RBF46" s="312"/>
      <c r="RBG46" s="482"/>
      <c r="RBH46" s="312"/>
      <c r="RBI46" s="656"/>
      <c r="RBJ46" s="657"/>
      <c r="RBK46" s="656"/>
      <c r="RBL46" s="657"/>
      <c r="RBM46" s="656"/>
      <c r="RBN46" s="658"/>
      <c r="RBO46" s="656"/>
      <c r="RBP46" s="658"/>
      <c r="RBS46" s="288"/>
      <c r="RBT46" s="312"/>
      <c r="RBU46" s="482"/>
      <c r="RBV46" s="312"/>
      <c r="RBW46" s="656"/>
      <c r="RBX46" s="657"/>
      <c r="RBY46" s="656"/>
      <c r="RBZ46" s="657"/>
      <c r="RCA46" s="656"/>
      <c r="RCB46" s="658"/>
      <c r="RCC46" s="656"/>
      <c r="RCD46" s="658"/>
      <c r="RCG46" s="288"/>
      <c r="RCH46" s="312"/>
      <c r="RCI46" s="482"/>
      <c r="RCJ46" s="312"/>
      <c r="RCK46" s="656"/>
      <c r="RCL46" s="657"/>
      <c r="RCM46" s="656"/>
      <c r="RCN46" s="657"/>
      <c r="RCO46" s="656"/>
      <c r="RCP46" s="658"/>
      <c r="RCQ46" s="656"/>
      <c r="RCR46" s="658"/>
      <c r="RCU46" s="288"/>
      <c r="RCV46" s="312"/>
      <c r="RCW46" s="482"/>
      <c r="RCX46" s="312"/>
      <c r="RCY46" s="656"/>
      <c r="RCZ46" s="657"/>
      <c r="RDA46" s="656"/>
      <c r="RDB46" s="657"/>
      <c r="RDC46" s="656"/>
      <c r="RDD46" s="658"/>
      <c r="RDE46" s="656"/>
      <c r="RDF46" s="658"/>
      <c r="RDI46" s="288"/>
      <c r="RDJ46" s="312"/>
      <c r="RDK46" s="482"/>
      <c r="RDL46" s="312"/>
      <c r="RDM46" s="656"/>
      <c r="RDN46" s="657"/>
      <c r="RDO46" s="656"/>
      <c r="RDP46" s="657"/>
      <c r="RDQ46" s="656"/>
      <c r="RDR46" s="658"/>
      <c r="RDS46" s="656"/>
      <c r="RDT46" s="658"/>
      <c r="RDW46" s="288"/>
      <c r="RDX46" s="312"/>
      <c r="RDY46" s="482"/>
      <c r="RDZ46" s="312"/>
      <c r="REA46" s="656"/>
      <c r="REB46" s="657"/>
      <c r="REC46" s="656"/>
      <c r="RED46" s="657"/>
      <c r="REE46" s="656"/>
      <c r="REF46" s="658"/>
      <c r="REG46" s="656"/>
      <c r="REH46" s="658"/>
      <c r="REK46" s="288"/>
      <c r="REL46" s="312"/>
      <c r="REM46" s="482"/>
      <c r="REN46" s="312"/>
      <c r="REO46" s="656"/>
      <c r="REP46" s="657"/>
      <c r="REQ46" s="656"/>
      <c r="RER46" s="657"/>
      <c r="RES46" s="656"/>
      <c r="RET46" s="658"/>
      <c r="REU46" s="656"/>
      <c r="REV46" s="658"/>
      <c r="REY46" s="288"/>
      <c r="REZ46" s="312"/>
      <c r="RFA46" s="482"/>
      <c r="RFB46" s="312"/>
      <c r="RFC46" s="656"/>
      <c r="RFD46" s="657"/>
      <c r="RFE46" s="656"/>
      <c r="RFF46" s="657"/>
      <c r="RFG46" s="656"/>
      <c r="RFH46" s="658"/>
      <c r="RFI46" s="656"/>
      <c r="RFJ46" s="658"/>
      <c r="RFM46" s="288"/>
      <c r="RFN46" s="312"/>
      <c r="RFO46" s="482"/>
      <c r="RFP46" s="312"/>
      <c r="RFQ46" s="656"/>
      <c r="RFR46" s="657"/>
      <c r="RFS46" s="656"/>
      <c r="RFT46" s="657"/>
      <c r="RFU46" s="656"/>
      <c r="RFV46" s="658"/>
      <c r="RFW46" s="656"/>
      <c r="RFX46" s="658"/>
      <c r="RGA46" s="288"/>
      <c r="RGB46" s="312"/>
      <c r="RGC46" s="482"/>
      <c r="RGD46" s="312"/>
      <c r="RGE46" s="656"/>
      <c r="RGF46" s="657"/>
      <c r="RGG46" s="656"/>
      <c r="RGH46" s="657"/>
      <c r="RGI46" s="656"/>
      <c r="RGJ46" s="658"/>
      <c r="RGK46" s="656"/>
      <c r="RGL46" s="658"/>
      <c r="RGO46" s="288"/>
      <c r="RGP46" s="312"/>
      <c r="RGQ46" s="482"/>
      <c r="RGR46" s="312"/>
      <c r="RGS46" s="656"/>
      <c r="RGT46" s="657"/>
      <c r="RGU46" s="656"/>
      <c r="RGV46" s="657"/>
      <c r="RGW46" s="656"/>
      <c r="RGX46" s="658"/>
      <c r="RGY46" s="656"/>
      <c r="RGZ46" s="658"/>
      <c r="RHC46" s="288"/>
      <c r="RHD46" s="312"/>
      <c r="RHE46" s="482"/>
      <c r="RHF46" s="312"/>
      <c r="RHG46" s="656"/>
      <c r="RHH46" s="657"/>
      <c r="RHI46" s="656"/>
      <c r="RHJ46" s="657"/>
      <c r="RHK46" s="656"/>
      <c r="RHL46" s="658"/>
      <c r="RHM46" s="656"/>
      <c r="RHN46" s="658"/>
      <c r="RHQ46" s="288"/>
      <c r="RHR46" s="312"/>
      <c r="RHS46" s="482"/>
      <c r="RHT46" s="312"/>
      <c r="RHU46" s="656"/>
      <c r="RHV46" s="657"/>
      <c r="RHW46" s="656"/>
      <c r="RHX46" s="657"/>
      <c r="RHY46" s="656"/>
      <c r="RHZ46" s="658"/>
      <c r="RIA46" s="656"/>
      <c r="RIB46" s="658"/>
      <c r="RIE46" s="288"/>
      <c r="RIF46" s="312"/>
      <c r="RIG46" s="482"/>
      <c r="RIH46" s="312"/>
      <c r="RII46" s="656"/>
      <c r="RIJ46" s="657"/>
      <c r="RIK46" s="656"/>
      <c r="RIL46" s="657"/>
      <c r="RIM46" s="656"/>
      <c r="RIN46" s="658"/>
      <c r="RIO46" s="656"/>
      <c r="RIP46" s="658"/>
      <c r="RIS46" s="288"/>
      <c r="RIT46" s="312"/>
      <c r="RIU46" s="482"/>
      <c r="RIV46" s="312"/>
      <c r="RIW46" s="656"/>
      <c r="RIX46" s="657"/>
      <c r="RIY46" s="656"/>
      <c r="RIZ46" s="657"/>
      <c r="RJA46" s="656"/>
      <c r="RJB46" s="658"/>
      <c r="RJC46" s="656"/>
      <c r="RJD46" s="658"/>
      <c r="RJG46" s="288"/>
      <c r="RJH46" s="312"/>
      <c r="RJI46" s="482"/>
      <c r="RJJ46" s="312"/>
      <c r="RJK46" s="656"/>
      <c r="RJL46" s="657"/>
      <c r="RJM46" s="656"/>
      <c r="RJN46" s="657"/>
      <c r="RJO46" s="656"/>
      <c r="RJP46" s="658"/>
      <c r="RJQ46" s="656"/>
      <c r="RJR46" s="658"/>
      <c r="RJU46" s="288"/>
      <c r="RJV46" s="312"/>
      <c r="RJW46" s="482"/>
      <c r="RJX46" s="312"/>
      <c r="RJY46" s="656"/>
      <c r="RJZ46" s="657"/>
      <c r="RKA46" s="656"/>
      <c r="RKB46" s="657"/>
      <c r="RKC46" s="656"/>
      <c r="RKD46" s="658"/>
      <c r="RKE46" s="656"/>
      <c r="RKF46" s="658"/>
      <c r="RKI46" s="288"/>
      <c r="RKJ46" s="312"/>
      <c r="RKK46" s="482"/>
      <c r="RKL46" s="312"/>
      <c r="RKM46" s="656"/>
      <c r="RKN46" s="657"/>
      <c r="RKO46" s="656"/>
      <c r="RKP46" s="657"/>
      <c r="RKQ46" s="656"/>
      <c r="RKR46" s="658"/>
      <c r="RKS46" s="656"/>
      <c r="RKT46" s="658"/>
      <c r="RKW46" s="288"/>
      <c r="RKX46" s="312"/>
      <c r="RKY46" s="482"/>
      <c r="RKZ46" s="312"/>
      <c r="RLA46" s="656"/>
      <c r="RLB46" s="657"/>
      <c r="RLC46" s="656"/>
      <c r="RLD46" s="657"/>
      <c r="RLE46" s="656"/>
      <c r="RLF46" s="658"/>
      <c r="RLG46" s="656"/>
      <c r="RLH46" s="658"/>
      <c r="RLK46" s="288"/>
      <c r="RLL46" s="312"/>
      <c r="RLM46" s="482"/>
      <c r="RLN46" s="312"/>
      <c r="RLO46" s="656"/>
      <c r="RLP46" s="657"/>
      <c r="RLQ46" s="656"/>
      <c r="RLR46" s="657"/>
      <c r="RLS46" s="656"/>
      <c r="RLT46" s="658"/>
      <c r="RLU46" s="656"/>
      <c r="RLV46" s="658"/>
      <c r="RLY46" s="288"/>
      <c r="RLZ46" s="312"/>
      <c r="RMA46" s="482"/>
      <c r="RMB46" s="312"/>
      <c r="RMC46" s="656"/>
      <c r="RMD46" s="657"/>
      <c r="RME46" s="656"/>
      <c r="RMF46" s="657"/>
      <c r="RMG46" s="656"/>
      <c r="RMH46" s="658"/>
      <c r="RMI46" s="656"/>
      <c r="RMJ46" s="658"/>
      <c r="RMM46" s="288"/>
      <c r="RMN46" s="312"/>
      <c r="RMO46" s="482"/>
      <c r="RMP46" s="312"/>
      <c r="RMQ46" s="656"/>
      <c r="RMR46" s="657"/>
      <c r="RMS46" s="656"/>
      <c r="RMT46" s="657"/>
      <c r="RMU46" s="656"/>
      <c r="RMV46" s="658"/>
      <c r="RMW46" s="656"/>
      <c r="RMX46" s="658"/>
      <c r="RNA46" s="288"/>
      <c r="RNB46" s="312"/>
      <c r="RNC46" s="482"/>
      <c r="RND46" s="312"/>
      <c r="RNE46" s="656"/>
      <c r="RNF46" s="657"/>
      <c r="RNG46" s="656"/>
      <c r="RNH46" s="657"/>
      <c r="RNI46" s="656"/>
      <c r="RNJ46" s="658"/>
      <c r="RNK46" s="656"/>
      <c r="RNL46" s="658"/>
      <c r="RNO46" s="288"/>
      <c r="RNP46" s="312"/>
      <c r="RNQ46" s="482"/>
      <c r="RNR46" s="312"/>
      <c r="RNS46" s="656"/>
      <c r="RNT46" s="657"/>
      <c r="RNU46" s="656"/>
      <c r="RNV46" s="657"/>
      <c r="RNW46" s="656"/>
      <c r="RNX46" s="658"/>
      <c r="RNY46" s="656"/>
      <c r="RNZ46" s="658"/>
      <c r="ROC46" s="288"/>
      <c r="ROD46" s="312"/>
      <c r="ROE46" s="482"/>
      <c r="ROF46" s="312"/>
      <c r="ROG46" s="656"/>
      <c r="ROH46" s="657"/>
      <c r="ROI46" s="656"/>
      <c r="ROJ46" s="657"/>
      <c r="ROK46" s="656"/>
      <c r="ROL46" s="658"/>
      <c r="ROM46" s="656"/>
      <c r="RON46" s="658"/>
      <c r="ROQ46" s="288"/>
      <c r="ROR46" s="312"/>
      <c r="ROS46" s="482"/>
      <c r="ROT46" s="312"/>
      <c r="ROU46" s="656"/>
      <c r="ROV46" s="657"/>
      <c r="ROW46" s="656"/>
      <c r="ROX46" s="657"/>
      <c r="ROY46" s="656"/>
      <c r="ROZ46" s="658"/>
      <c r="RPA46" s="656"/>
      <c r="RPB46" s="658"/>
      <c r="RPE46" s="288"/>
      <c r="RPF46" s="312"/>
      <c r="RPG46" s="482"/>
      <c r="RPH46" s="312"/>
      <c r="RPI46" s="656"/>
      <c r="RPJ46" s="657"/>
      <c r="RPK46" s="656"/>
      <c r="RPL46" s="657"/>
      <c r="RPM46" s="656"/>
      <c r="RPN46" s="658"/>
      <c r="RPO46" s="656"/>
      <c r="RPP46" s="658"/>
      <c r="RPS46" s="288"/>
      <c r="RPT46" s="312"/>
      <c r="RPU46" s="482"/>
      <c r="RPV46" s="312"/>
      <c r="RPW46" s="656"/>
      <c r="RPX46" s="657"/>
      <c r="RPY46" s="656"/>
      <c r="RPZ46" s="657"/>
      <c r="RQA46" s="656"/>
      <c r="RQB46" s="658"/>
      <c r="RQC46" s="656"/>
      <c r="RQD46" s="658"/>
      <c r="RQG46" s="288"/>
      <c r="RQH46" s="312"/>
      <c r="RQI46" s="482"/>
      <c r="RQJ46" s="312"/>
      <c r="RQK46" s="656"/>
      <c r="RQL46" s="657"/>
      <c r="RQM46" s="656"/>
      <c r="RQN46" s="657"/>
      <c r="RQO46" s="656"/>
      <c r="RQP46" s="658"/>
      <c r="RQQ46" s="656"/>
      <c r="RQR46" s="658"/>
      <c r="RQU46" s="288"/>
      <c r="RQV46" s="312"/>
      <c r="RQW46" s="482"/>
      <c r="RQX46" s="312"/>
      <c r="RQY46" s="656"/>
      <c r="RQZ46" s="657"/>
      <c r="RRA46" s="656"/>
      <c r="RRB46" s="657"/>
      <c r="RRC46" s="656"/>
      <c r="RRD46" s="658"/>
      <c r="RRE46" s="656"/>
      <c r="RRF46" s="658"/>
      <c r="RRI46" s="288"/>
      <c r="RRJ46" s="312"/>
      <c r="RRK46" s="482"/>
      <c r="RRL46" s="312"/>
      <c r="RRM46" s="656"/>
      <c r="RRN46" s="657"/>
      <c r="RRO46" s="656"/>
      <c r="RRP46" s="657"/>
      <c r="RRQ46" s="656"/>
      <c r="RRR46" s="658"/>
      <c r="RRS46" s="656"/>
      <c r="RRT46" s="658"/>
      <c r="RRW46" s="288"/>
      <c r="RRX46" s="312"/>
      <c r="RRY46" s="482"/>
      <c r="RRZ46" s="312"/>
      <c r="RSA46" s="656"/>
      <c r="RSB46" s="657"/>
      <c r="RSC46" s="656"/>
      <c r="RSD46" s="657"/>
      <c r="RSE46" s="656"/>
      <c r="RSF46" s="658"/>
      <c r="RSG46" s="656"/>
      <c r="RSH46" s="658"/>
      <c r="RSK46" s="288"/>
      <c r="RSL46" s="312"/>
      <c r="RSM46" s="482"/>
      <c r="RSN46" s="312"/>
      <c r="RSO46" s="656"/>
      <c r="RSP46" s="657"/>
      <c r="RSQ46" s="656"/>
      <c r="RSR46" s="657"/>
      <c r="RSS46" s="656"/>
      <c r="RST46" s="658"/>
      <c r="RSU46" s="656"/>
      <c r="RSV46" s="658"/>
      <c r="RSY46" s="288"/>
      <c r="RSZ46" s="312"/>
      <c r="RTA46" s="482"/>
      <c r="RTB46" s="312"/>
      <c r="RTC46" s="656"/>
      <c r="RTD46" s="657"/>
      <c r="RTE46" s="656"/>
      <c r="RTF46" s="657"/>
      <c r="RTG46" s="656"/>
      <c r="RTH46" s="658"/>
      <c r="RTI46" s="656"/>
      <c r="RTJ46" s="658"/>
      <c r="RTM46" s="288"/>
      <c r="RTN46" s="312"/>
      <c r="RTO46" s="482"/>
      <c r="RTP46" s="312"/>
      <c r="RTQ46" s="656"/>
      <c r="RTR46" s="657"/>
      <c r="RTS46" s="656"/>
      <c r="RTT46" s="657"/>
      <c r="RTU46" s="656"/>
      <c r="RTV46" s="658"/>
      <c r="RTW46" s="656"/>
      <c r="RTX46" s="658"/>
      <c r="RUA46" s="288"/>
      <c r="RUB46" s="312"/>
      <c r="RUC46" s="482"/>
      <c r="RUD46" s="312"/>
      <c r="RUE46" s="656"/>
      <c r="RUF46" s="657"/>
      <c r="RUG46" s="656"/>
      <c r="RUH46" s="657"/>
      <c r="RUI46" s="656"/>
      <c r="RUJ46" s="658"/>
      <c r="RUK46" s="656"/>
      <c r="RUL46" s="658"/>
      <c r="RUO46" s="288"/>
      <c r="RUP46" s="312"/>
      <c r="RUQ46" s="482"/>
      <c r="RUR46" s="312"/>
      <c r="RUS46" s="656"/>
      <c r="RUT46" s="657"/>
      <c r="RUU46" s="656"/>
      <c r="RUV46" s="657"/>
      <c r="RUW46" s="656"/>
      <c r="RUX46" s="658"/>
      <c r="RUY46" s="656"/>
      <c r="RUZ46" s="658"/>
      <c r="RVC46" s="288"/>
      <c r="RVD46" s="312"/>
      <c r="RVE46" s="482"/>
      <c r="RVF46" s="312"/>
      <c r="RVG46" s="656"/>
      <c r="RVH46" s="657"/>
      <c r="RVI46" s="656"/>
      <c r="RVJ46" s="657"/>
      <c r="RVK46" s="656"/>
      <c r="RVL46" s="658"/>
      <c r="RVM46" s="656"/>
      <c r="RVN46" s="658"/>
      <c r="RVQ46" s="288"/>
      <c r="RVR46" s="312"/>
      <c r="RVS46" s="482"/>
      <c r="RVT46" s="312"/>
      <c r="RVU46" s="656"/>
      <c r="RVV46" s="657"/>
      <c r="RVW46" s="656"/>
      <c r="RVX46" s="657"/>
      <c r="RVY46" s="656"/>
      <c r="RVZ46" s="658"/>
      <c r="RWA46" s="656"/>
      <c r="RWB46" s="658"/>
      <c r="RWE46" s="288"/>
      <c r="RWF46" s="312"/>
      <c r="RWG46" s="482"/>
      <c r="RWH46" s="312"/>
      <c r="RWI46" s="656"/>
      <c r="RWJ46" s="657"/>
      <c r="RWK46" s="656"/>
      <c r="RWL46" s="657"/>
      <c r="RWM46" s="656"/>
      <c r="RWN46" s="658"/>
      <c r="RWO46" s="656"/>
      <c r="RWP46" s="658"/>
      <c r="RWS46" s="288"/>
      <c r="RWT46" s="312"/>
      <c r="RWU46" s="482"/>
      <c r="RWV46" s="312"/>
      <c r="RWW46" s="656"/>
      <c r="RWX46" s="657"/>
      <c r="RWY46" s="656"/>
      <c r="RWZ46" s="657"/>
      <c r="RXA46" s="656"/>
      <c r="RXB46" s="658"/>
      <c r="RXC46" s="656"/>
      <c r="RXD46" s="658"/>
      <c r="RXG46" s="288"/>
      <c r="RXH46" s="312"/>
      <c r="RXI46" s="482"/>
      <c r="RXJ46" s="312"/>
      <c r="RXK46" s="656"/>
      <c r="RXL46" s="657"/>
      <c r="RXM46" s="656"/>
      <c r="RXN46" s="657"/>
      <c r="RXO46" s="656"/>
      <c r="RXP46" s="658"/>
      <c r="RXQ46" s="656"/>
      <c r="RXR46" s="658"/>
      <c r="RXU46" s="288"/>
      <c r="RXV46" s="312"/>
      <c r="RXW46" s="482"/>
      <c r="RXX46" s="312"/>
      <c r="RXY46" s="656"/>
      <c r="RXZ46" s="657"/>
      <c r="RYA46" s="656"/>
      <c r="RYB46" s="657"/>
      <c r="RYC46" s="656"/>
      <c r="RYD46" s="658"/>
      <c r="RYE46" s="656"/>
      <c r="RYF46" s="658"/>
      <c r="RYI46" s="288"/>
      <c r="RYJ46" s="312"/>
      <c r="RYK46" s="482"/>
      <c r="RYL46" s="312"/>
      <c r="RYM46" s="656"/>
      <c r="RYN46" s="657"/>
      <c r="RYO46" s="656"/>
      <c r="RYP46" s="657"/>
      <c r="RYQ46" s="656"/>
      <c r="RYR46" s="658"/>
      <c r="RYS46" s="656"/>
      <c r="RYT46" s="658"/>
      <c r="RYW46" s="288"/>
      <c r="RYX46" s="312"/>
      <c r="RYY46" s="482"/>
      <c r="RYZ46" s="312"/>
      <c r="RZA46" s="656"/>
      <c r="RZB46" s="657"/>
      <c r="RZC46" s="656"/>
      <c r="RZD46" s="657"/>
      <c r="RZE46" s="656"/>
      <c r="RZF46" s="658"/>
      <c r="RZG46" s="656"/>
      <c r="RZH46" s="658"/>
      <c r="RZK46" s="288"/>
      <c r="RZL46" s="312"/>
      <c r="RZM46" s="482"/>
      <c r="RZN46" s="312"/>
      <c r="RZO46" s="656"/>
      <c r="RZP46" s="657"/>
      <c r="RZQ46" s="656"/>
      <c r="RZR46" s="657"/>
      <c r="RZS46" s="656"/>
      <c r="RZT46" s="658"/>
      <c r="RZU46" s="656"/>
      <c r="RZV46" s="658"/>
      <c r="RZY46" s="288"/>
      <c r="RZZ46" s="312"/>
      <c r="SAA46" s="482"/>
      <c r="SAB46" s="312"/>
      <c r="SAC46" s="656"/>
      <c r="SAD46" s="657"/>
      <c r="SAE46" s="656"/>
      <c r="SAF46" s="657"/>
      <c r="SAG46" s="656"/>
      <c r="SAH46" s="658"/>
      <c r="SAI46" s="656"/>
      <c r="SAJ46" s="658"/>
      <c r="SAM46" s="288"/>
      <c r="SAN46" s="312"/>
      <c r="SAO46" s="482"/>
      <c r="SAP46" s="312"/>
      <c r="SAQ46" s="656"/>
      <c r="SAR46" s="657"/>
      <c r="SAS46" s="656"/>
      <c r="SAT46" s="657"/>
      <c r="SAU46" s="656"/>
      <c r="SAV46" s="658"/>
      <c r="SAW46" s="656"/>
      <c r="SAX46" s="658"/>
      <c r="SBA46" s="288"/>
      <c r="SBB46" s="312"/>
      <c r="SBC46" s="482"/>
      <c r="SBD46" s="312"/>
      <c r="SBE46" s="656"/>
      <c r="SBF46" s="657"/>
      <c r="SBG46" s="656"/>
      <c r="SBH46" s="657"/>
      <c r="SBI46" s="656"/>
      <c r="SBJ46" s="658"/>
      <c r="SBK46" s="656"/>
      <c r="SBL46" s="658"/>
      <c r="SBO46" s="288"/>
      <c r="SBP46" s="312"/>
      <c r="SBQ46" s="482"/>
      <c r="SBR46" s="312"/>
      <c r="SBS46" s="656"/>
      <c r="SBT46" s="657"/>
      <c r="SBU46" s="656"/>
      <c r="SBV46" s="657"/>
      <c r="SBW46" s="656"/>
      <c r="SBX46" s="658"/>
      <c r="SBY46" s="656"/>
      <c r="SBZ46" s="658"/>
      <c r="SCC46" s="288"/>
      <c r="SCD46" s="312"/>
      <c r="SCE46" s="482"/>
      <c r="SCF46" s="312"/>
      <c r="SCG46" s="656"/>
      <c r="SCH46" s="657"/>
      <c r="SCI46" s="656"/>
      <c r="SCJ46" s="657"/>
      <c r="SCK46" s="656"/>
      <c r="SCL46" s="658"/>
      <c r="SCM46" s="656"/>
      <c r="SCN46" s="658"/>
      <c r="SCQ46" s="288"/>
      <c r="SCR46" s="312"/>
      <c r="SCS46" s="482"/>
      <c r="SCT46" s="312"/>
      <c r="SCU46" s="656"/>
      <c r="SCV46" s="657"/>
      <c r="SCW46" s="656"/>
      <c r="SCX46" s="657"/>
      <c r="SCY46" s="656"/>
      <c r="SCZ46" s="658"/>
      <c r="SDA46" s="656"/>
      <c r="SDB46" s="658"/>
      <c r="SDE46" s="288"/>
      <c r="SDF46" s="312"/>
      <c r="SDG46" s="482"/>
      <c r="SDH46" s="312"/>
      <c r="SDI46" s="656"/>
      <c r="SDJ46" s="657"/>
      <c r="SDK46" s="656"/>
      <c r="SDL46" s="657"/>
      <c r="SDM46" s="656"/>
      <c r="SDN46" s="658"/>
      <c r="SDO46" s="656"/>
      <c r="SDP46" s="658"/>
      <c r="SDS46" s="288"/>
      <c r="SDT46" s="312"/>
      <c r="SDU46" s="482"/>
      <c r="SDV46" s="312"/>
      <c r="SDW46" s="656"/>
      <c r="SDX46" s="657"/>
      <c r="SDY46" s="656"/>
      <c r="SDZ46" s="657"/>
      <c r="SEA46" s="656"/>
      <c r="SEB46" s="658"/>
      <c r="SEC46" s="656"/>
      <c r="SED46" s="658"/>
      <c r="SEG46" s="288"/>
      <c r="SEH46" s="312"/>
      <c r="SEI46" s="482"/>
      <c r="SEJ46" s="312"/>
      <c r="SEK46" s="656"/>
      <c r="SEL46" s="657"/>
      <c r="SEM46" s="656"/>
      <c r="SEN46" s="657"/>
      <c r="SEO46" s="656"/>
      <c r="SEP46" s="658"/>
      <c r="SEQ46" s="656"/>
      <c r="SER46" s="658"/>
      <c r="SEU46" s="288"/>
      <c r="SEV46" s="312"/>
      <c r="SEW46" s="482"/>
      <c r="SEX46" s="312"/>
      <c r="SEY46" s="656"/>
      <c r="SEZ46" s="657"/>
      <c r="SFA46" s="656"/>
      <c r="SFB46" s="657"/>
      <c r="SFC46" s="656"/>
      <c r="SFD46" s="658"/>
      <c r="SFE46" s="656"/>
      <c r="SFF46" s="658"/>
      <c r="SFI46" s="288"/>
      <c r="SFJ46" s="312"/>
      <c r="SFK46" s="482"/>
      <c r="SFL46" s="312"/>
      <c r="SFM46" s="656"/>
      <c r="SFN46" s="657"/>
      <c r="SFO46" s="656"/>
      <c r="SFP46" s="657"/>
      <c r="SFQ46" s="656"/>
      <c r="SFR46" s="658"/>
      <c r="SFS46" s="656"/>
      <c r="SFT46" s="658"/>
      <c r="SFW46" s="288"/>
      <c r="SFX46" s="312"/>
      <c r="SFY46" s="482"/>
      <c r="SFZ46" s="312"/>
      <c r="SGA46" s="656"/>
      <c r="SGB46" s="657"/>
      <c r="SGC46" s="656"/>
      <c r="SGD46" s="657"/>
      <c r="SGE46" s="656"/>
      <c r="SGF46" s="658"/>
      <c r="SGG46" s="656"/>
      <c r="SGH46" s="658"/>
      <c r="SGK46" s="288"/>
      <c r="SGL46" s="312"/>
      <c r="SGM46" s="482"/>
      <c r="SGN46" s="312"/>
      <c r="SGO46" s="656"/>
      <c r="SGP46" s="657"/>
      <c r="SGQ46" s="656"/>
      <c r="SGR46" s="657"/>
      <c r="SGS46" s="656"/>
      <c r="SGT46" s="658"/>
      <c r="SGU46" s="656"/>
      <c r="SGV46" s="658"/>
      <c r="SGY46" s="288"/>
      <c r="SGZ46" s="312"/>
      <c r="SHA46" s="482"/>
      <c r="SHB46" s="312"/>
      <c r="SHC46" s="656"/>
      <c r="SHD46" s="657"/>
      <c r="SHE46" s="656"/>
      <c r="SHF46" s="657"/>
      <c r="SHG46" s="656"/>
      <c r="SHH46" s="658"/>
      <c r="SHI46" s="656"/>
      <c r="SHJ46" s="658"/>
      <c r="SHM46" s="288"/>
      <c r="SHN46" s="312"/>
      <c r="SHO46" s="482"/>
      <c r="SHP46" s="312"/>
      <c r="SHQ46" s="656"/>
      <c r="SHR46" s="657"/>
      <c r="SHS46" s="656"/>
      <c r="SHT46" s="657"/>
      <c r="SHU46" s="656"/>
      <c r="SHV46" s="658"/>
      <c r="SHW46" s="656"/>
      <c r="SHX46" s="658"/>
      <c r="SIA46" s="288"/>
      <c r="SIB46" s="312"/>
      <c r="SIC46" s="482"/>
      <c r="SID46" s="312"/>
      <c r="SIE46" s="656"/>
      <c r="SIF46" s="657"/>
      <c r="SIG46" s="656"/>
      <c r="SIH46" s="657"/>
      <c r="SII46" s="656"/>
      <c r="SIJ46" s="658"/>
      <c r="SIK46" s="656"/>
      <c r="SIL46" s="658"/>
      <c r="SIO46" s="288"/>
      <c r="SIP46" s="312"/>
      <c r="SIQ46" s="482"/>
      <c r="SIR46" s="312"/>
      <c r="SIS46" s="656"/>
      <c r="SIT46" s="657"/>
      <c r="SIU46" s="656"/>
      <c r="SIV46" s="657"/>
      <c r="SIW46" s="656"/>
      <c r="SIX46" s="658"/>
      <c r="SIY46" s="656"/>
      <c r="SIZ46" s="658"/>
      <c r="SJC46" s="288"/>
      <c r="SJD46" s="312"/>
      <c r="SJE46" s="482"/>
      <c r="SJF46" s="312"/>
      <c r="SJG46" s="656"/>
      <c r="SJH46" s="657"/>
      <c r="SJI46" s="656"/>
      <c r="SJJ46" s="657"/>
      <c r="SJK46" s="656"/>
      <c r="SJL46" s="658"/>
      <c r="SJM46" s="656"/>
      <c r="SJN46" s="658"/>
      <c r="SJQ46" s="288"/>
      <c r="SJR46" s="312"/>
      <c r="SJS46" s="482"/>
      <c r="SJT46" s="312"/>
      <c r="SJU46" s="656"/>
      <c r="SJV46" s="657"/>
      <c r="SJW46" s="656"/>
      <c r="SJX46" s="657"/>
      <c r="SJY46" s="656"/>
      <c r="SJZ46" s="658"/>
      <c r="SKA46" s="656"/>
      <c r="SKB46" s="658"/>
      <c r="SKE46" s="288"/>
      <c r="SKF46" s="312"/>
      <c r="SKG46" s="482"/>
      <c r="SKH46" s="312"/>
      <c r="SKI46" s="656"/>
      <c r="SKJ46" s="657"/>
      <c r="SKK46" s="656"/>
      <c r="SKL46" s="657"/>
      <c r="SKM46" s="656"/>
      <c r="SKN46" s="658"/>
      <c r="SKO46" s="656"/>
      <c r="SKP46" s="658"/>
      <c r="SKS46" s="288"/>
      <c r="SKT46" s="312"/>
      <c r="SKU46" s="482"/>
      <c r="SKV46" s="312"/>
      <c r="SKW46" s="656"/>
      <c r="SKX46" s="657"/>
      <c r="SKY46" s="656"/>
      <c r="SKZ46" s="657"/>
      <c r="SLA46" s="656"/>
      <c r="SLB46" s="658"/>
      <c r="SLC46" s="656"/>
      <c r="SLD46" s="658"/>
      <c r="SLG46" s="288"/>
      <c r="SLH46" s="312"/>
      <c r="SLI46" s="482"/>
      <c r="SLJ46" s="312"/>
      <c r="SLK46" s="656"/>
      <c r="SLL46" s="657"/>
      <c r="SLM46" s="656"/>
      <c r="SLN46" s="657"/>
      <c r="SLO46" s="656"/>
      <c r="SLP46" s="658"/>
      <c r="SLQ46" s="656"/>
      <c r="SLR46" s="658"/>
      <c r="SLU46" s="288"/>
      <c r="SLV46" s="312"/>
      <c r="SLW46" s="482"/>
      <c r="SLX46" s="312"/>
      <c r="SLY46" s="656"/>
      <c r="SLZ46" s="657"/>
      <c r="SMA46" s="656"/>
      <c r="SMB46" s="657"/>
      <c r="SMC46" s="656"/>
      <c r="SMD46" s="658"/>
      <c r="SME46" s="656"/>
      <c r="SMF46" s="658"/>
      <c r="SMI46" s="288"/>
      <c r="SMJ46" s="312"/>
      <c r="SMK46" s="482"/>
      <c r="SML46" s="312"/>
      <c r="SMM46" s="656"/>
      <c r="SMN46" s="657"/>
      <c r="SMO46" s="656"/>
      <c r="SMP46" s="657"/>
      <c r="SMQ46" s="656"/>
      <c r="SMR46" s="658"/>
      <c r="SMS46" s="656"/>
      <c r="SMT46" s="658"/>
      <c r="SMW46" s="288"/>
      <c r="SMX46" s="312"/>
      <c r="SMY46" s="482"/>
      <c r="SMZ46" s="312"/>
      <c r="SNA46" s="656"/>
      <c r="SNB46" s="657"/>
      <c r="SNC46" s="656"/>
      <c r="SND46" s="657"/>
      <c r="SNE46" s="656"/>
      <c r="SNF46" s="658"/>
      <c r="SNG46" s="656"/>
      <c r="SNH46" s="658"/>
      <c r="SNK46" s="288"/>
      <c r="SNL46" s="312"/>
      <c r="SNM46" s="482"/>
      <c r="SNN46" s="312"/>
      <c r="SNO46" s="656"/>
      <c r="SNP46" s="657"/>
      <c r="SNQ46" s="656"/>
      <c r="SNR46" s="657"/>
      <c r="SNS46" s="656"/>
      <c r="SNT46" s="658"/>
      <c r="SNU46" s="656"/>
      <c r="SNV46" s="658"/>
      <c r="SNY46" s="288"/>
      <c r="SNZ46" s="312"/>
      <c r="SOA46" s="482"/>
      <c r="SOB46" s="312"/>
      <c r="SOC46" s="656"/>
      <c r="SOD46" s="657"/>
      <c r="SOE46" s="656"/>
      <c r="SOF46" s="657"/>
      <c r="SOG46" s="656"/>
      <c r="SOH46" s="658"/>
      <c r="SOI46" s="656"/>
      <c r="SOJ46" s="658"/>
      <c r="SOM46" s="288"/>
      <c r="SON46" s="312"/>
      <c r="SOO46" s="482"/>
      <c r="SOP46" s="312"/>
      <c r="SOQ46" s="656"/>
      <c r="SOR46" s="657"/>
      <c r="SOS46" s="656"/>
      <c r="SOT46" s="657"/>
      <c r="SOU46" s="656"/>
      <c r="SOV46" s="658"/>
      <c r="SOW46" s="656"/>
      <c r="SOX46" s="658"/>
      <c r="SPA46" s="288"/>
      <c r="SPB46" s="312"/>
      <c r="SPC46" s="482"/>
      <c r="SPD46" s="312"/>
      <c r="SPE46" s="656"/>
      <c r="SPF46" s="657"/>
      <c r="SPG46" s="656"/>
      <c r="SPH46" s="657"/>
      <c r="SPI46" s="656"/>
      <c r="SPJ46" s="658"/>
      <c r="SPK46" s="656"/>
      <c r="SPL46" s="658"/>
      <c r="SPO46" s="288"/>
      <c r="SPP46" s="312"/>
      <c r="SPQ46" s="482"/>
      <c r="SPR46" s="312"/>
      <c r="SPS46" s="656"/>
      <c r="SPT46" s="657"/>
      <c r="SPU46" s="656"/>
      <c r="SPV46" s="657"/>
      <c r="SPW46" s="656"/>
      <c r="SPX46" s="658"/>
      <c r="SPY46" s="656"/>
      <c r="SPZ46" s="658"/>
      <c r="SQC46" s="288"/>
      <c r="SQD46" s="312"/>
      <c r="SQE46" s="482"/>
      <c r="SQF46" s="312"/>
      <c r="SQG46" s="656"/>
      <c r="SQH46" s="657"/>
      <c r="SQI46" s="656"/>
      <c r="SQJ46" s="657"/>
      <c r="SQK46" s="656"/>
      <c r="SQL46" s="658"/>
      <c r="SQM46" s="656"/>
      <c r="SQN46" s="658"/>
      <c r="SQQ46" s="288"/>
      <c r="SQR46" s="312"/>
      <c r="SQS46" s="482"/>
      <c r="SQT46" s="312"/>
      <c r="SQU46" s="656"/>
      <c r="SQV46" s="657"/>
      <c r="SQW46" s="656"/>
      <c r="SQX46" s="657"/>
      <c r="SQY46" s="656"/>
      <c r="SQZ46" s="658"/>
      <c r="SRA46" s="656"/>
      <c r="SRB46" s="658"/>
      <c r="SRE46" s="288"/>
      <c r="SRF46" s="312"/>
      <c r="SRG46" s="482"/>
      <c r="SRH46" s="312"/>
      <c r="SRI46" s="656"/>
      <c r="SRJ46" s="657"/>
      <c r="SRK46" s="656"/>
      <c r="SRL46" s="657"/>
      <c r="SRM46" s="656"/>
      <c r="SRN46" s="658"/>
      <c r="SRO46" s="656"/>
      <c r="SRP46" s="658"/>
      <c r="SRS46" s="288"/>
      <c r="SRT46" s="312"/>
      <c r="SRU46" s="482"/>
      <c r="SRV46" s="312"/>
      <c r="SRW46" s="656"/>
      <c r="SRX46" s="657"/>
      <c r="SRY46" s="656"/>
      <c r="SRZ46" s="657"/>
      <c r="SSA46" s="656"/>
      <c r="SSB46" s="658"/>
      <c r="SSC46" s="656"/>
      <c r="SSD46" s="658"/>
      <c r="SSG46" s="288"/>
      <c r="SSH46" s="312"/>
      <c r="SSI46" s="482"/>
      <c r="SSJ46" s="312"/>
      <c r="SSK46" s="656"/>
      <c r="SSL46" s="657"/>
      <c r="SSM46" s="656"/>
      <c r="SSN46" s="657"/>
      <c r="SSO46" s="656"/>
      <c r="SSP46" s="658"/>
      <c r="SSQ46" s="656"/>
      <c r="SSR46" s="658"/>
      <c r="SSU46" s="288"/>
      <c r="SSV46" s="312"/>
      <c r="SSW46" s="482"/>
      <c r="SSX46" s="312"/>
      <c r="SSY46" s="656"/>
      <c r="SSZ46" s="657"/>
      <c r="STA46" s="656"/>
      <c r="STB46" s="657"/>
      <c r="STC46" s="656"/>
      <c r="STD46" s="658"/>
      <c r="STE46" s="656"/>
      <c r="STF46" s="658"/>
      <c r="STI46" s="288"/>
      <c r="STJ46" s="312"/>
      <c r="STK46" s="482"/>
      <c r="STL46" s="312"/>
      <c r="STM46" s="656"/>
      <c r="STN46" s="657"/>
      <c r="STO46" s="656"/>
      <c r="STP46" s="657"/>
      <c r="STQ46" s="656"/>
      <c r="STR46" s="658"/>
      <c r="STS46" s="656"/>
      <c r="STT46" s="658"/>
      <c r="STW46" s="288"/>
      <c r="STX46" s="312"/>
      <c r="STY46" s="482"/>
      <c r="STZ46" s="312"/>
      <c r="SUA46" s="656"/>
      <c r="SUB46" s="657"/>
      <c r="SUC46" s="656"/>
      <c r="SUD46" s="657"/>
      <c r="SUE46" s="656"/>
      <c r="SUF46" s="658"/>
      <c r="SUG46" s="656"/>
      <c r="SUH46" s="658"/>
      <c r="SUK46" s="288"/>
      <c r="SUL46" s="312"/>
      <c r="SUM46" s="482"/>
      <c r="SUN46" s="312"/>
      <c r="SUO46" s="656"/>
      <c r="SUP46" s="657"/>
      <c r="SUQ46" s="656"/>
      <c r="SUR46" s="657"/>
      <c r="SUS46" s="656"/>
      <c r="SUT46" s="658"/>
      <c r="SUU46" s="656"/>
      <c r="SUV46" s="658"/>
      <c r="SUY46" s="288"/>
      <c r="SUZ46" s="312"/>
      <c r="SVA46" s="482"/>
      <c r="SVB46" s="312"/>
      <c r="SVC46" s="656"/>
      <c r="SVD46" s="657"/>
      <c r="SVE46" s="656"/>
      <c r="SVF46" s="657"/>
      <c r="SVG46" s="656"/>
      <c r="SVH46" s="658"/>
      <c r="SVI46" s="656"/>
      <c r="SVJ46" s="658"/>
      <c r="SVM46" s="288"/>
      <c r="SVN46" s="312"/>
      <c r="SVO46" s="482"/>
      <c r="SVP46" s="312"/>
      <c r="SVQ46" s="656"/>
      <c r="SVR46" s="657"/>
      <c r="SVS46" s="656"/>
      <c r="SVT46" s="657"/>
      <c r="SVU46" s="656"/>
      <c r="SVV46" s="658"/>
      <c r="SVW46" s="656"/>
      <c r="SVX46" s="658"/>
      <c r="SWA46" s="288"/>
      <c r="SWB46" s="312"/>
      <c r="SWC46" s="482"/>
      <c r="SWD46" s="312"/>
      <c r="SWE46" s="656"/>
      <c r="SWF46" s="657"/>
      <c r="SWG46" s="656"/>
      <c r="SWH46" s="657"/>
      <c r="SWI46" s="656"/>
      <c r="SWJ46" s="658"/>
      <c r="SWK46" s="656"/>
      <c r="SWL46" s="658"/>
      <c r="SWO46" s="288"/>
      <c r="SWP46" s="312"/>
      <c r="SWQ46" s="482"/>
      <c r="SWR46" s="312"/>
      <c r="SWS46" s="656"/>
      <c r="SWT46" s="657"/>
      <c r="SWU46" s="656"/>
      <c r="SWV46" s="657"/>
      <c r="SWW46" s="656"/>
      <c r="SWX46" s="658"/>
      <c r="SWY46" s="656"/>
      <c r="SWZ46" s="658"/>
      <c r="SXC46" s="288"/>
      <c r="SXD46" s="312"/>
      <c r="SXE46" s="482"/>
      <c r="SXF46" s="312"/>
      <c r="SXG46" s="656"/>
      <c r="SXH46" s="657"/>
      <c r="SXI46" s="656"/>
      <c r="SXJ46" s="657"/>
      <c r="SXK46" s="656"/>
      <c r="SXL46" s="658"/>
      <c r="SXM46" s="656"/>
      <c r="SXN46" s="658"/>
      <c r="SXQ46" s="288"/>
      <c r="SXR46" s="312"/>
      <c r="SXS46" s="482"/>
      <c r="SXT46" s="312"/>
      <c r="SXU46" s="656"/>
      <c r="SXV46" s="657"/>
      <c r="SXW46" s="656"/>
      <c r="SXX46" s="657"/>
      <c r="SXY46" s="656"/>
      <c r="SXZ46" s="658"/>
      <c r="SYA46" s="656"/>
      <c r="SYB46" s="658"/>
      <c r="SYE46" s="288"/>
      <c r="SYF46" s="312"/>
      <c r="SYG46" s="482"/>
      <c r="SYH46" s="312"/>
      <c r="SYI46" s="656"/>
      <c r="SYJ46" s="657"/>
      <c r="SYK46" s="656"/>
      <c r="SYL46" s="657"/>
      <c r="SYM46" s="656"/>
      <c r="SYN46" s="658"/>
      <c r="SYO46" s="656"/>
      <c r="SYP46" s="658"/>
      <c r="SYS46" s="288"/>
      <c r="SYT46" s="312"/>
      <c r="SYU46" s="482"/>
      <c r="SYV46" s="312"/>
      <c r="SYW46" s="656"/>
      <c r="SYX46" s="657"/>
      <c r="SYY46" s="656"/>
      <c r="SYZ46" s="657"/>
      <c r="SZA46" s="656"/>
      <c r="SZB46" s="658"/>
      <c r="SZC46" s="656"/>
      <c r="SZD46" s="658"/>
      <c r="SZG46" s="288"/>
      <c r="SZH46" s="312"/>
      <c r="SZI46" s="482"/>
      <c r="SZJ46" s="312"/>
      <c r="SZK46" s="656"/>
      <c r="SZL46" s="657"/>
      <c r="SZM46" s="656"/>
      <c r="SZN46" s="657"/>
      <c r="SZO46" s="656"/>
      <c r="SZP46" s="658"/>
      <c r="SZQ46" s="656"/>
      <c r="SZR46" s="658"/>
      <c r="SZU46" s="288"/>
      <c r="SZV46" s="312"/>
      <c r="SZW46" s="482"/>
      <c r="SZX46" s="312"/>
      <c r="SZY46" s="656"/>
      <c r="SZZ46" s="657"/>
      <c r="TAA46" s="656"/>
      <c r="TAB46" s="657"/>
      <c r="TAC46" s="656"/>
      <c r="TAD46" s="658"/>
      <c r="TAE46" s="656"/>
      <c r="TAF46" s="658"/>
      <c r="TAI46" s="288"/>
      <c r="TAJ46" s="312"/>
      <c r="TAK46" s="482"/>
      <c r="TAL46" s="312"/>
      <c r="TAM46" s="656"/>
      <c r="TAN46" s="657"/>
      <c r="TAO46" s="656"/>
      <c r="TAP46" s="657"/>
      <c r="TAQ46" s="656"/>
      <c r="TAR46" s="658"/>
      <c r="TAS46" s="656"/>
      <c r="TAT46" s="658"/>
      <c r="TAW46" s="288"/>
      <c r="TAX46" s="312"/>
      <c r="TAY46" s="482"/>
      <c r="TAZ46" s="312"/>
      <c r="TBA46" s="656"/>
      <c r="TBB46" s="657"/>
      <c r="TBC46" s="656"/>
      <c r="TBD46" s="657"/>
      <c r="TBE46" s="656"/>
      <c r="TBF46" s="658"/>
      <c r="TBG46" s="656"/>
      <c r="TBH46" s="658"/>
      <c r="TBK46" s="288"/>
      <c r="TBL46" s="312"/>
      <c r="TBM46" s="482"/>
      <c r="TBN46" s="312"/>
      <c r="TBO46" s="656"/>
      <c r="TBP46" s="657"/>
      <c r="TBQ46" s="656"/>
      <c r="TBR46" s="657"/>
      <c r="TBS46" s="656"/>
      <c r="TBT46" s="658"/>
      <c r="TBU46" s="656"/>
      <c r="TBV46" s="658"/>
      <c r="TBY46" s="288"/>
      <c r="TBZ46" s="312"/>
      <c r="TCA46" s="482"/>
      <c r="TCB46" s="312"/>
      <c r="TCC46" s="656"/>
      <c r="TCD46" s="657"/>
      <c r="TCE46" s="656"/>
      <c r="TCF46" s="657"/>
      <c r="TCG46" s="656"/>
      <c r="TCH46" s="658"/>
      <c r="TCI46" s="656"/>
      <c r="TCJ46" s="658"/>
      <c r="TCM46" s="288"/>
      <c r="TCN46" s="312"/>
      <c r="TCO46" s="482"/>
      <c r="TCP46" s="312"/>
      <c r="TCQ46" s="656"/>
      <c r="TCR46" s="657"/>
      <c r="TCS46" s="656"/>
      <c r="TCT46" s="657"/>
      <c r="TCU46" s="656"/>
      <c r="TCV46" s="658"/>
      <c r="TCW46" s="656"/>
      <c r="TCX46" s="658"/>
      <c r="TDA46" s="288"/>
      <c r="TDB46" s="312"/>
      <c r="TDC46" s="482"/>
      <c r="TDD46" s="312"/>
      <c r="TDE46" s="656"/>
      <c r="TDF46" s="657"/>
      <c r="TDG46" s="656"/>
      <c r="TDH46" s="657"/>
      <c r="TDI46" s="656"/>
      <c r="TDJ46" s="658"/>
      <c r="TDK46" s="656"/>
      <c r="TDL46" s="658"/>
      <c r="TDO46" s="288"/>
      <c r="TDP46" s="312"/>
      <c r="TDQ46" s="482"/>
      <c r="TDR46" s="312"/>
      <c r="TDS46" s="656"/>
      <c r="TDT46" s="657"/>
      <c r="TDU46" s="656"/>
      <c r="TDV46" s="657"/>
      <c r="TDW46" s="656"/>
      <c r="TDX46" s="658"/>
      <c r="TDY46" s="656"/>
      <c r="TDZ46" s="658"/>
      <c r="TEC46" s="288"/>
      <c r="TED46" s="312"/>
      <c r="TEE46" s="482"/>
      <c r="TEF46" s="312"/>
      <c r="TEG46" s="656"/>
      <c r="TEH46" s="657"/>
      <c r="TEI46" s="656"/>
      <c r="TEJ46" s="657"/>
      <c r="TEK46" s="656"/>
      <c r="TEL46" s="658"/>
      <c r="TEM46" s="656"/>
      <c r="TEN46" s="658"/>
      <c r="TEQ46" s="288"/>
      <c r="TER46" s="312"/>
      <c r="TES46" s="482"/>
      <c r="TET46" s="312"/>
      <c r="TEU46" s="656"/>
      <c r="TEV46" s="657"/>
      <c r="TEW46" s="656"/>
      <c r="TEX46" s="657"/>
      <c r="TEY46" s="656"/>
      <c r="TEZ46" s="658"/>
      <c r="TFA46" s="656"/>
      <c r="TFB46" s="658"/>
      <c r="TFE46" s="288"/>
      <c r="TFF46" s="312"/>
      <c r="TFG46" s="482"/>
      <c r="TFH46" s="312"/>
      <c r="TFI46" s="656"/>
      <c r="TFJ46" s="657"/>
      <c r="TFK46" s="656"/>
      <c r="TFL46" s="657"/>
      <c r="TFM46" s="656"/>
      <c r="TFN46" s="658"/>
      <c r="TFO46" s="656"/>
      <c r="TFP46" s="658"/>
      <c r="TFS46" s="288"/>
      <c r="TFT46" s="312"/>
      <c r="TFU46" s="482"/>
      <c r="TFV46" s="312"/>
      <c r="TFW46" s="656"/>
      <c r="TFX46" s="657"/>
      <c r="TFY46" s="656"/>
      <c r="TFZ46" s="657"/>
      <c r="TGA46" s="656"/>
      <c r="TGB46" s="658"/>
      <c r="TGC46" s="656"/>
      <c r="TGD46" s="658"/>
      <c r="TGG46" s="288"/>
      <c r="TGH46" s="312"/>
      <c r="TGI46" s="482"/>
      <c r="TGJ46" s="312"/>
      <c r="TGK46" s="656"/>
      <c r="TGL46" s="657"/>
      <c r="TGM46" s="656"/>
      <c r="TGN46" s="657"/>
      <c r="TGO46" s="656"/>
      <c r="TGP46" s="658"/>
      <c r="TGQ46" s="656"/>
      <c r="TGR46" s="658"/>
      <c r="TGU46" s="288"/>
      <c r="TGV46" s="312"/>
      <c r="TGW46" s="482"/>
      <c r="TGX46" s="312"/>
      <c r="TGY46" s="656"/>
      <c r="TGZ46" s="657"/>
      <c r="THA46" s="656"/>
      <c r="THB46" s="657"/>
      <c r="THC46" s="656"/>
      <c r="THD46" s="658"/>
      <c r="THE46" s="656"/>
      <c r="THF46" s="658"/>
      <c r="THI46" s="288"/>
      <c r="THJ46" s="312"/>
      <c r="THK46" s="482"/>
      <c r="THL46" s="312"/>
      <c r="THM46" s="656"/>
      <c r="THN46" s="657"/>
      <c r="THO46" s="656"/>
      <c r="THP46" s="657"/>
      <c r="THQ46" s="656"/>
      <c r="THR46" s="658"/>
      <c r="THS46" s="656"/>
      <c r="THT46" s="658"/>
      <c r="THW46" s="288"/>
      <c r="THX46" s="312"/>
      <c r="THY46" s="482"/>
      <c r="THZ46" s="312"/>
      <c r="TIA46" s="656"/>
      <c r="TIB46" s="657"/>
      <c r="TIC46" s="656"/>
      <c r="TID46" s="657"/>
      <c r="TIE46" s="656"/>
      <c r="TIF46" s="658"/>
      <c r="TIG46" s="656"/>
      <c r="TIH46" s="658"/>
      <c r="TIK46" s="288"/>
      <c r="TIL46" s="312"/>
      <c r="TIM46" s="482"/>
      <c r="TIN46" s="312"/>
      <c r="TIO46" s="656"/>
      <c r="TIP46" s="657"/>
      <c r="TIQ46" s="656"/>
      <c r="TIR46" s="657"/>
      <c r="TIS46" s="656"/>
      <c r="TIT46" s="658"/>
      <c r="TIU46" s="656"/>
      <c r="TIV46" s="658"/>
      <c r="TIY46" s="288"/>
      <c r="TIZ46" s="312"/>
      <c r="TJA46" s="482"/>
      <c r="TJB46" s="312"/>
      <c r="TJC46" s="656"/>
      <c r="TJD46" s="657"/>
      <c r="TJE46" s="656"/>
      <c r="TJF46" s="657"/>
      <c r="TJG46" s="656"/>
      <c r="TJH46" s="658"/>
      <c r="TJI46" s="656"/>
      <c r="TJJ46" s="658"/>
      <c r="TJM46" s="288"/>
      <c r="TJN46" s="312"/>
      <c r="TJO46" s="482"/>
      <c r="TJP46" s="312"/>
      <c r="TJQ46" s="656"/>
      <c r="TJR46" s="657"/>
      <c r="TJS46" s="656"/>
      <c r="TJT46" s="657"/>
      <c r="TJU46" s="656"/>
      <c r="TJV46" s="658"/>
      <c r="TJW46" s="656"/>
      <c r="TJX46" s="658"/>
      <c r="TKA46" s="288"/>
      <c r="TKB46" s="312"/>
      <c r="TKC46" s="482"/>
      <c r="TKD46" s="312"/>
      <c r="TKE46" s="656"/>
      <c r="TKF46" s="657"/>
      <c r="TKG46" s="656"/>
      <c r="TKH46" s="657"/>
      <c r="TKI46" s="656"/>
      <c r="TKJ46" s="658"/>
      <c r="TKK46" s="656"/>
      <c r="TKL46" s="658"/>
      <c r="TKO46" s="288"/>
      <c r="TKP46" s="312"/>
      <c r="TKQ46" s="482"/>
      <c r="TKR46" s="312"/>
      <c r="TKS46" s="656"/>
      <c r="TKT46" s="657"/>
      <c r="TKU46" s="656"/>
      <c r="TKV46" s="657"/>
      <c r="TKW46" s="656"/>
      <c r="TKX46" s="658"/>
      <c r="TKY46" s="656"/>
      <c r="TKZ46" s="658"/>
      <c r="TLC46" s="288"/>
      <c r="TLD46" s="312"/>
      <c r="TLE46" s="482"/>
      <c r="TLF46" s="312"/>
      <c r="TLG46" s="656"/>
      <c r="TLH46" s="657"/>
      <c r="TLI46" s="656"/>
      <c r="TLJ46" s="657"/>
      <c r="TLK46" s="656"/>
      <c r="TLL46" s="658"/>
      <c r="TLM46" s="656"/>
      <c r="TLN46" s="658"/>
      <c r="TLQ46" s="288"/>
      <c r="TLR46" s="312"/>
      <c r="TLS46" s="482"/>
      <c r="TLT46" s="312"/>
      <c r="TLU46" s="656"/>
      <c r="TLV46" s="657"/>
      <c r="TLW46" s="656"/>
      <c r="TLX46" s="657"/>
      <c r="TLY46" s="656"/>
      <c r="TLZ46" s="658"/>
      <c r="TMA46" s="656"/>
      <c r="TMB46" s="658"/>
      <c r="TME46" s="288"/>
      <c r="TMF46" s="312"/>
      <c r="TMG46" s="482"/>
      <c r="TMH46" s="312"/>
      <c r="TMI46" s="656"/>
      <c r="TMJ46" s="657"/>
      <c r="TMK46" s="656"/>
      <c r="TML46" s="657"/>
      <c r="TMM46" s="656"/>
      <c r="TMN46" s="658"/>
      <c r="TMO46" s="656"/>
      <c r="TMP46" s="658"/>
      <c r="TMS46" s="288"/>
      <c r="TMT46" s="312"/>
      <c r="TMU46" s="482"/>
      <c r="TMV46" s="312"/>
      <c r="TMW46" s="656"/>
      <c r="TMX46" s="657"/>
      <c r="TMY46" s="656"/>
      <c r="TMZ46" s="657"/>
      <c r="TNA46" s="656"/>
      <c r="TNB46" s="658"/>
      <c r="TNC46" s="656"/>
      <c r="TND46" s="658"/>
      <c r="TNG46" s="288"/>
      <c r="TNH46" s="312"/>
      <c r="TNI46" s="482"/>
      <c r="TNJ46" s="312"/>
      <c r="TNK46" s="656"/>
      <c r="TNL46" s="657"/>
      <c r="TNM46" s="656"/>
      <c r="TNN46" s="657"/>
      <c r="TNO46" s="656"/>
      <c r="TNP46" s="658"/>
      <c r="TNQ46" s="656"/>
      <c r="TNR46" s="658"/>
      <c r="TNU46" s="288"/>
      <c r="TNV46" s="312"/>
      <c r="TNW46" s="482"/>
      <c r="TNX46" s="312"/>
      <c r="TNY46" s="656"/>
      <c r="TNZ46" s="657"/>
      <c r="TOA46" s="656"/>
      <c r="TOB46" s="657"/>
      <c r="TOC46" s="656"/>
      <c r="TOD46" s="658"/>
      <c r="TOE46" s="656"/>
      <c r="TOF46" s="658"/>
      <c r="TOI46" s="288"/>
      <c r="TOJ46" s="312"/>
      <c r="TOK46" s="482"/>
      <c r="TOL46" s="312"/>
      <c r="TOM46" s="656"/>
      <c r="TON46" s="657"/>
      <c r="TOO46" s="656"/>
      <c r="TOP46" s="657"/>
      <c r="TOQ46" s="656"/>
      <c r="TOR46" s="658"/>
      <c r="TOS46" s="656"/>
      <c r="TOT46" s="658"/>
      <c r="TOW46" s="288"/>
      <c r="TOX46" s="312"/>
      <c r="TOY46" s="482"/>
      <c r="TOZ46" s="312"/>
      <c r="TPA46" s="656"/>
      <c r="TPB46" s="657"/>
      <c r="TPC46" s="656"/>
      <c r="TPD46" s="657"/>
      <c r="TPE46" s="656"/>
      <c r="TPF46" s="658"/>
      <c r="TPG46" s="656"/>
      <c r="TPH46" s="658"/>
      <c r="TPK46" s="288"/>
      <c r="TPL46" s="312"/>
      <c r="TPM46" s="482"/>
      <c r="TPN46" s="312"/>
      <c r="TPO46" s="656"/>
      <c r="TPP46" s="657"/>
      <c r="TPQ46" s="656"/>
      <c r="TPR46" s="657"/>
      <c r="TPS46" s="656"/>
      <c r="TPT46" s="658"/>
      <c r="TPU46" s="656"/>
      <c r="TPV46" s="658"/>
      <c r="TPY46" s="288"/>
      <c r="TPZ46" s="312"/>
      <c r="TQA46" s="482"/>
      <c r="TQB46" s="312"/>
      <c r="TQC46" s="656"/>
      <c r="TQD46" s="657"/>
      <c r="TQE46" s="656"/>
      <c r="TQF46" s="657"/>
      <c r="TQG46" s="656"/>
      <c r="TQH46" s="658"/>
      <c r="TQI46" s="656"/>
      <c r="TQJ46" s="658"/>
      <c r="TQM46" s="288"/>
      <c r="TQN46" s="312"/>
      <c r="TQO46" s="482"/>
      <c r="TQP46" s="312"/>
      <c r="TQQ46" s="656"/>
      <c r="TQR46" s="657"/>
      <c r="TQS46" s="656"/>
      <c r="TQT46" s="657"/>
      <c r="TQU46" s="656"/>
      <c r="TQV46" s="658"/>
      <c r="TQW46" s="656"/>
      <c r="TQX46" s="658"/>
      <c r="TRA46" s="288"/>
      <c r="TRB46" s="312"/>
      <c r="TRC46" s="482"/>
      <c r="TRD46" s="312"/>
      <c r="TRE46" s="656"/>
      <c r="TRF46" s="657"/>
      <c r="TRG46" s="656"/>
      <c r="TRH46" s="657"/>
      <c r="TRI46" s="656"/>
      <c r="TRJ46" s="658"/>
      <c r="TRK46" s="656"/>
      <c r="TRL46" s="658"/>
      <c r="TRO46" s="288"/>
      <c r="TRP46" s="312"/>
      <c r="TRQ46" s="482"/>
      <c r="TRR46" s="312"/>
      <c r="TRS46" s="656"/>
      <c r="TRT46" s="657"/>
      <c r="TRU46" s="656"/>
      <c r="TRV46" s="657"/>
      <c r="TRW46" s="656"/>
      <c r="TRX46" s="658"/>
      <c r="TRY46" s="656"/>
      <c r="TRZ46" s="658"/>
      <c r="TSC46" s="288"/>
      <c r="TSD46" s="312"/>
      <c r="TSE46" s="482"/>
      <c r="TSF46" s="312"/>
      <c r="TSG46" s="656"/>
      <c r="TSH46" s="657"/>
      <c r="TSI46" s="656"/>
      <c r="TSJ46" s="657"/>
      <c r="TSK46" s="656"/>
      <c r="TSL46" s="658"/>
      <c r="TSM46" s="656"/>
      <c r="TSN46" s="658"/>
      <c r="TSQ46" s="288"/>
      <c r="TSR46" s="312"/>
      <c r="TSS46" s="482"/>
      <c r="TST46" s="312"/>
      <c r="TSU46" s="656"/>
      <c r="TSV46" s="657"/>
      <c r="TSW46" s="656"/>
      <c r="TSX46" s="657"/>
      <c r="TSY46" s="656"/>
      <c r="TSZ46" s="658"/>
      <c r="TTA46" s="656"/>
      <c r="TTB46" s="658"/>
      <c r="TTE46" s="288"/>
      <c r="TTF46" s="312"/>
      <c r="TTG46" s="482"/>
      <c r="TTH46" s="312"/>
      <c r="TTI46" s="656"/>
      <c r="TTJ46" s="657"/>
      <c r="TTK46" s="656"/>
      <c r="TTL46" s="657"/>
      <c r="TTM46" s="656"/>
      <c r="TTN46" s="658"/>
      <c r="TTO46" s="656"/>
      <c r="TTP46" s="658"/>
      <c r="TTS46" s="288"/>
      <c r="TTT46" s="312"/>
      <c r="TTU46" s="482"/>
      <c r="TTV46" s="312"/>
      <c r="TTW46" s="656"/>
      <c r="TTX46" s="657"/>
      <c r="TTY46" s="656"/>
      <c r="TTZ46" s="657"/>
      <c r="TUA46" s="656"/>
      <c r="TUB46" s="658"/>
      <c r="TUC46" s="656"/>
      <c r="TUD46" s="658"/>
      <c r="TUG46" s="288"/>
      <c r="TUH46" s="312"/>
      <c r="TUI46" s="482"/>
      <c r="TUJ46" s="312"/>
      <c r="TUK46" s="656"/>
      <c r="TUL46" s="657"/>
      <c r="TUM46" s="656"/>
      <c r="TUN46" s="657"/>
      <c r="TUO46" s="656"/>
      <c r="TUP46" s="658"/>
      <c r="TUQ46" s="656"/>
      <c r="TUR46" s="658"/>
      <c r="TUU46" s="288"/>
      <c r="TUV46" s="312"/>
      <c r="TUW46" s="482"/>
      <c r="TUX46" s="312"/>
      <c r="TUY46" s="656"/>
      <c r="TUZ46" s="657"/>
      <c r="TVA46" s="656"/>
      <c r="TVB46" s="657"/>
      <c r="TVC46" s="656"/>
      <c r="TVD46" s="658"/>
      <c r="TVE46" s="656"/>
      <c r="TVF46" s="658"/>
      <c r="TVI46" s="288"/>
      <c r="TVJ46" s="312"/>
      <c r="TVK46" s="482"/>
      <c r="TVL46" s="312"/>
      <c r="TVM46" s="656"/>
      <c r="TVN46" s="657"/>
      <c r="TVO46" s="656"/>
      <c r="TVP46" s="657"/>
      <c r="TVQ46" s="656"/>
      <c r="TVR46" s="658"/>
      <c r="TVS46" s="656"/>
      <c r="TVT46" s="658"/>
      <c r="TVW46" s="288"/>
      <c r="TVX46" s="312"/>
      <c r="TVY46" s="482"/>
      <c r="TVZ46" s="312"/>
      <c r="TWA46" s="656"/>
      <c r="TWB46" s="657"/>
      <c r="TWC46" s="656"/>
      <c r="TWD46" s="657"/>
      <c r="TWE46" s="656"/>
      <c r="TWF46" s="658"/>
      <c r="TWG46" s="656"/>
      <c r="TWH46" s="658"/>
      <c r="TWK46" s="288"/>
      <c r="TWL46" s="312"/>
      <c r="TWM46" s="482"/>
      <c r="TWN46" s="312"/>
      <c r="TWO46" s="656"/>
      <c r="TWP46" s="657"/>
      <c r="TWQ46" s="656"/>
      <c r="TWR46" s="657"/>
      <c r="TWS46" s="656"/>
      <c r="TWT46" s="658"/>
      <c r="TWU46" s="656"/>
      <c r="TWV46" s="658"/>
      <c r="TWY46" s="288"/>
      <c r="TWZ46" s="312"/>
      <c r="TXA46" s="482"/>
      <c r="TXB46" s="312"/>
      <c r="TXC46" s="656"/>
      <c r="TXD46" s="657"/>
      <c r="TXE46" s="656"/>
      <c r="TXF46" s="657"/>
      <c r="TXG46" s="656"/>
      <c r="TXH46" s="658"/>
      <c r="TXI46" s="656"/>
      <c r="TXJ46" s="658"/>
      <c r="TXM46" s="288"/>
      <c r="TXN46" s="312"/>
      <c r="TXO46" s="482"/>
      <c r="TXP46" s="312"/>
      <c r="TXQ46" s="656"/>
      <c r="TXR46" s="657"/>
      <c r="TXS46" s="656"/>
      <c r="TXT46" s="657"/>
      <c r="TXU46" s="656"/>
      <c r="TXV46" s="658"/>
      <c r="TXW46" s="656"/>
      <c r="TXX46" s="658"/>
      <c r="TYA46" s="288"/>
      <c r="TYB46" s="312"/>
      <c r="TYC46" s="482"/>
      <c r="TYD46" s="312"/>
      <c r="TYE46" s="656"/>
      <c r="TYF46" s="657"/>
      <c r="TYG46" s="656"/>
      <c r="TYH46" s="657"/>
      <c r="TYI46" s="656"/>
      <c r="TYJ46" s="658"/>
      <c r="TYK46" s="656"/>
      <c r="TYL46" s="658"/>
      <c r="TYO46" s="288"/>
      <c r="TYP46" s="312"/>
      <c r="TYQ46" s="482"/>
      <c r="TYR46" s="312"/>
      <c r="TYS46" s="656"/>
      <c r="TYT46" s="657"/>
      <c r="TYU46" s="656"/>
      <c r="TYV46" s="657"/>
      <c r="TYW46" s="656"/>
      <c r="TYX46" s="658"/>
      <c r="TYY46" s="656"/>
      <c r="TYZ46" s="658"/>
      <c r="TZC46" s="288"/>
      <c r="TZD46" s="312"/>
      <c r="TZE46" s="482"/>
      <c r="TZF46" s="312"/>
      <c r="TZG46" s="656"/>
      <c r="TZH46" s="657"/>
      <c r="TZI46" s="656"/>
      <c r="TZJ46" s="657"/>
      <c r="TZK46" s="656"/>
      <c r="TZL46" s="658"/>
      <c r="TZM46" s="656"/>
      <c r="TZN46" s="658"/>
      <c r="TZQ46" s="288"/>
      <c r="TZR46" s="312"/>
      <c r="TZS46" s="482"/>
      <c r="TZT46" s="312"/>
      <c r="TZU46" s="656"/>
      <c r="TZV46" s="657"/>
      <c r="TZW46" s="656"/>
      <c r="TZX46" s="657"/>
      <c r="TZY46" s="656"/>
      <c r="TZZ46" s="658"/>
      <c r="UAA46" s="656"/>
      <c r="UAB46" s="658"/>
      <c r="UAE46" s="288"/>
      <c r="UAF46" s="312"/>
      <c r="UAG46" s="482"/>
      <c r="UAH46" s="312"/>
      <c r="UAI46" s="656"/>
      <c r="UAJ46" s="657"/>
      <c r="UAK46" s="656"/>
      <c r="UAL46" s="657"/>
      <c r="UAM46" s="656"/>
      <c r="UAN46" s="658"/>
      <c r="UAO46" s="656"/>
      <c r="UAP46" s="658"/>
      <c r="UAS46" s="288"/>
      <c r="UAT46" s="312"/>
      <c r="UAU46" s="482"/>
      <c r="UAV46" s="312"/>
      <c r="UAW46" s="656"/>
      <c r="UAX46" s="657"/>
      <c r="UAY46" s="656"/>
      <c r="UAZ46" s="657"/>
      <c r="UBA46" s="656"/>
      <c r="UBB46" s="658"/>
      <c r="UBC46" s="656"/>
      <c r="UBD46" s="658"/>
      <c r="UBG46" s="288"/>
      <c r="UBH46" s="312"/>
      <c r="UBI46" s="482"/>
      <c r="UBJ46" s="312"/>
      <c r="UBK46" s="656"/>
      <c r="UBL46" s="657"/>
      <c r="UBM46" s="656"/>
      <c r="UBN46" s="657"/>
      <c r="UBO46" s="656"/>
      <c r="UBP46" s="658"/>
      <c r="UBQ46" s="656"/>
      <c r="UBR46" s="658"/>
      <c r="UBU46" s="288"/>
      <c r="UBV46" s="312"/>
      <c r="UBW46" s="482"/>
      <c r="UBX46" s="312"/>
      <c r="UBY46" s="656"/>
      <c r="UBZ46" s="657"/>
      <c r="UCA46" s="656"/>
      <c r="UCB46" s="657"/>
      <c r="UCC46" s="656"/>
      <c r="UCD46" s="658"/>
      <c r="UCE46" s="656"/>
      <c r="UCF46" s="658"/>
      <c r="UCI46" s="288"/>
      <c r="UCJ46" s="312"/>
      <c r="UCK46" s="482"/>
      <c r="UCL46" s="312"/>
      <c r="UCM46" s="656"/>
      <c r="UCN46" s="657"/>
      <c r="UCO46" s="656"/>
      <c r="UCP46" s="657"/>
      <c r="UCQ46" s="656"/>
      <c r="UCR46" s="658"/>
      <c r="UCS46" s="656"/>
      <c r="UCT46" s="658"/>
      <c r="UCW46" s="288"/>
      <c r="UCX46" s="312"/>
      <c r="UCY46" s="482"/>
      <c r="UCZ46" s="312"/>
      <c r="UDA46" s="656"/>
      <c r="UDB46" s="657"/>
      <c r="UDC46" s="656"/>
      <c r="UDD46" s="657"/>
      <c r="UDE46" s="656"/>
      <c r="UDF46" s="658"/>
      <c r="UDG46" s="656"/>
      <c r="UDH46" s="658"/>
      <c r="UDK46" s="288"/>
      <c r="UDL46" s="312"/>
      <c r="UDM46" s="482"/>
      <c r="UDN46" s="312"/>
      <c r="UDO46" s="656"/>
      <c r="UDP46" s="657"/>
      <c r="UDQ46" s="656"/>
      <c r="UDR46" s="657"/>
      <c r="UDS46" s="656"/>
      <c r="UDT46" s="658"/>
      <c r="UDU46" s="656"/>
      <c r="UDV46" s="658"/>
      <c r="UDY46" s="288"/>
      <c r="UDZ46" s="312"/>
      <c r="UEA46" s="482"/>
      <c r="UEB46" s="312"/>
      <c r="UEC46" s="656"/>
      <c r="UED46" s="657"/>
      <c r="UEE46" s="656"/>
      <c r="UEF46" s="657"/>
      <c r="UEG46" s="656"/>
      <c r="UEH46" s="658"/>
      <c r="UEI46" s="656"/>
      <c r="UEJ46" s="658"/>
      <c r="UEM46" s="288"/>
      <c r="UEN46" s="312"/>
      <c r="UEO46" s="482"/>
      <c r="UEP46" s="312"/>
      <c r="UEQ46" s="656"/>
      <c r="UER46" s="657"/>
      <c r="UES46" s="656"/>
      <c r="UET46" s="657"/>
      <c r="UEU46" s="656"/>
      <c r="UEV46" s="658"/>
      <c r="UEW46" s="656"/>
      <c r="UEX46" s="658"/>
      <c r="UFA46" s="288"/>
      <c r="UFB46" s="312"/>
      <c r="UFC46" s="482"/>
      <c r="UFD46" s="312"/>
      <c r="UFE46" s="656"/>
      <c r="UFF46" s="657"/>
      <c r="UFG46" s="656"/>
      <c r="UFH46" s="657"/>
      <c r="UFI46" s="656"/>
      <c r="UFJ46" s="658"/>
      <c r="UFK46" s="656"/>
      <c r="UFL46" s="658"/>
      <c r="UFO46" s="288"/>
      <c r="UFP46" s="312"/>
      <c r="UFQ46" s="482"/>
      <c r="UFR46" s="312"/>
      <c r="UFS46" s="656"/>
      <c r="UFT46" s="657"/>
      <c r="UFU46" s="656"/>
      <c r="UFV46" s="657"/>
      <c r="UFW46" s="656"/>
      <c r="UFX46" s="658"/>
      <c r="UFY46" s="656"/>
      <c r="UFZ46" s="658"/>
      <c r="UGC46" s="288"/>
      <c r="UGD46" s="312"/>
      <c r="UGE46" s="482"/>
      <c r="UGF46" s="312"/>
      <c r="UGG46" s="656"/>
      <c r="UGH46" s="657"/>
      <c r="UGI46" s="656"/>
      <c r="UGJ46" s="657"/>
      <c r="UGK46" s="656"/>
      <c r="UGL46" s="658"/>
      <c r="UGM46" s="656"/>
      <c r="UGN46" s="658"/>
      <c r="UGQ46" s="288"/>
      <c r="UGR46" s="312"/>
      <c r="UGS46" s="482"/>
      <c r="UGT46" s="312"/>
      <c r="UGU46" s="656"/>
      <c r="UGV46" s="657"/>
      <c r="UGW46" s="656"/>
      <c r="UGX46" s="657"/>
      <c r="UGY46" s="656"/>
      <c r="UGZ46" s="658"/>
      <c r="UHA46" s="656"/>
      <c r="UHB46" s="658"/>
      <c r="UHE46" s="288"/>
      <c r="UHF46" s="312"/>
      <c r="UHG46" s="482"/>
      <c r="UHH46" s="312"/>
      <c r="UHI46" s="656"/>
      <c r="UHJ46" s="657"/>
      <c r="UHK46" s="656"/>
      <c r="UHL46" s="657"/>
      <c r="UHM46" s="656"/>
      <c r="UHN46" s="658"/>
      <c r="UHO46" s="656"/>
      <c r="UHP46" s="658"/>
      <c r="UHS46" s="288"/>
      <c r="UHT46" s="312"/>
      <c r="UHU46" s="482"/>
      <c r="UHV46" s="312"/>
      <c r="UHW46" s="656"/>
      <c r="UHX46" s="657"/>
      <c r="UHY46" s="656"/>
      <c r="UHZ46" s="657"/>
      <c r="UIA46" s="656"/>
      <c r="UIB46" s="658"/>
      <c r="UIC46" s="656"/>
      <c r="UID46" s="658"/>
      <c r="UIG46" s="288"/>
      <c r="UIH46" s="312"/>
      <c r="UII46" s="482"/>
      <c r="UIJ46" s="312"/>
      <c r="UIK46" s="656"/>
      <c r="UIL46" s="657"/>
      <c r="UIM46" s="656"/>
      <c r="UIN46" s="657"/>
      <c r="UIO46" s="656"/>
      <c r="UIP46" s="658"/>
      <c r="UIQ46" s="656"/>
      <c r="UIR46" s="658"/>
      <c r="UIU46" s="288"/>
      <c r="UIV46" s="312"/>
      <c r="UIW46" s="482"/>
      <c r="UIX46" s="312"/>
      <c r="UIY46" s="656"/>
      <c r="UIZ46" s="657"/>
      <c r="UJA46" s="656"/>
      <c r="UJB46" s="657"/>
      <c r="UJC46" s="656"/>
      <c r="UJD46" s="658"/>
      <c r="UJE46" s="656"/>
      <c r="UJF46" s="658"/>
      <c r="UJI46" s="288"/>
      <c r="UJJ46" s="312"/>
      <c r="UJK46" s="482"/>
      <c r="UJL46" s="312"/>
      <c r="UJM46" s="656"/>
      <c r="UJN46" s="657"/>
      <c r="UJO46" s="656"/>
      <c r="UJP46" s="657"/>
      <c r="UJQ46" s="656"/>
      <c r="UJR46" s="658"/>
      <c r="UJS46" s="656"/>
      <c r="UJT46" s="658"/>
      <c r="UJW46" s="288"/>
      <c r="UJX46" s="312"/>
      <c r="UJY46" s="482"/>
      <c r="UJZ46" s="312"/>
      <c r="UKA46" s="656"/>
      <c r="UKB46" s="657"/>
      <c r="UKC46" s="656"/>
      <c r="UKD46" s="657"/>
      <c r="UKE46" s="656"/>
      <c r="UKF46" s="658"/>
      <c r="UKG46" s="656"/>
      <c r="UKH46" s="658"/>
      <c r="UKK46" s="288"/>
      <c r="UKL46" s="312"/>
      <c r="UKM46" s="482"/>
      <c r="UKN46" s="312"/>
      <c r="UKO46" s="656"/>
      <c r="UKP46" s="657"/>
      <c r="UKQ46" s="656"/>
      <c r="UKR46" s="657"/>
      <c r="UKS46" s="656"/>
      <c r="UKT46" s="658"/>
      <c r="UKU46" s="656"/>
      <c r="UKV46" s="658"/>
      <c r="UKY46" s="288"/>
      <c r="UKZ46" s="312"/>
      <c r="ULA46" s="482"/>
      <c r="ULB46" s="312"/>
      <c r="ULC46" s="656"/>
      <c r="ULD46" s="657"/>
      <c r="ULE46" s="656"/>
      <c r="ULF46" s="657"/>
      <c r="ULG46" s="656"/>
      <c r="ULH46" s="658"/>
      <c r="ULI46" s="656"/>
      <c r="ULJ46" s="658"/>
      <c r="ULM46" s="288"/>
      <c r="ULN46" s="312"/>
      <c r="ULO46" s="482"/>
      <c r="ULP46" s="312"/>
      <c r="ULQ46" s="656"/>
      <c r="ULR46" s="657"/>
      <c r="ULS46" s="656"/>
      <c r="ULT46" s="657"/>
      <c r="ULU46" s="656"/>
      <c r="ULV46" s="658"/>
      <c r="ULW46" s="656"/>
      <c r="ULX46" s="658"/>
      <c r="UMA46" s="288"/>
      <c r="UMB46" s="312"/>
      <c r="UMC46" s="482"/>
      <c r="UMD46" s="312"/>
      <c r="UME46" s="656"/>
      <c r="UMF46" s="657"/>
      <c r="UMG46" s="656"/>
      <c r="UMH46" s="657"/>
      <c r="UMI46" s="656"/>
      <c r="UMJ46" s="658"/>
      <c r="UMK46" s="656"/>
      <c r="UML46" s="658"/>
      <c r="UMO46" s="288"/>
      <c r="UMP46" s="312"/>
      <c r="UMQ46" s="482"/>
      <c r="UMR46" s="312"/>
      <c r="UMS46" s="656"/>
      <c r="UMT46" s="657"/>
      <c r="UMU46" s="656"/>
      <c r="UMV46" s="657"/>
      <c r="UMW46" s="656"/>
      <c r="UMX46" s="658"/>
      <c r="UMY46" s="656"/>
      <c r="UMZ46" s="658"/>
      <c r="UNC46" s="288"/>
      <c r="UND46" s="312"/>
      <c r="UNE46" s="482"/>
      <c r="UNF46" s="312"/>
      <c r="UNG46" s="656"/>
      <c r="UNH46" s="657"/>
      <c r="UNI46" s="656"/>
      <c r="UNJ46" s="657"/>
      <c r="UNK46" s="656"/>
      <c r="UNL46" s="658"/>
      <c r="UNM46" s="656"/>
      <c r="UNN46" s="658"/>
      <c r="UNQ46" s="288"/>
      <c r="UNR46" s="312"/>
      <c r="UNS46" s="482"/>
      <c r="UNT46" s="312"/>
      <c r="UNU46" s="656"/>
      <c r="UNV46" s="657"/>
      <c r="UNW46" s="656"/>
      <c r="UNX46" s="657"/>
      <c r="UNY46" s="656"/>
      <c r="UNZ46" s="658"/>
      <c r="UOA46" s="656"/>
      <c r="UOB46" s="658"/>
      <c r="UOE46" s="288"/>
      <c r="UOF46" s="312"/>
      <c r="UOG46" s="482"/>
      <c r="UOH46" s="312"/>
      <c r="UOI46" s="656"/>
      <c r="UOJ46" s="657"/>
      <c r="UOK46" s="656"/>
      <c r="UOL46" s="657"/>
      <c r="UOM46" s="656"/>
      <c r="UON46" s="658"/>
      <c r="UOO46" s="656"/>
      <c r="UOP46" s="658"/>
      <c r="UOS46" s="288"/>
      <c r="UOT46" s="312"/>
      <c r="UOU46" s="482"/>
      <c r="UOV46" s="312"/>
      <c r="UOW46" s="656"/>
      <c r="UOX46" s="657"/>
      <c r="UOY46" s="656"/>
      <c r="UOZ46" s="657"/>
      <c r="UPA46" s="656"/>
      <c r="UPB46" s="658"/>
      <c r="UPC46" s="656"/>
      <c r="UPD46" s="658"/>
      <c r="UPG46" s="288"/>
      <c r="UPH46" s="312"/>
      <c r="UPI46" s="482"/>
      <c r="UPJ46" s="312"/>
      <c r="UPK46" s="656"/>
      <c r="UPL46" s="657"/>
      <c r="UPM46" s="656"/>
      <c r="UPN46" s="657"/>
      <c r="UPO46" s="656"/>
      <c r="UPP46" s="658"/>
      <c r="UPQ46" s="656"/>
      <c r="UPR46" s="658"/>
      <c r="UPU46" s="288"/>
      <c r="UPV46" s="312"/>
      <c r="UPW46" s="482"/>
      <c r="UPX46" s="312"/>
      <c r="UPY46" s="656"/>
      <c r="UPZ46" s="657"/>
      <c r="UQA46" s="656"/>
      <c r="UQB46" s="657"/>
      <c r="UQC46" s="656"/>
      <c r="UQD46" s="658"/>
      <c r="UQE46" s="656"/>
      <c r="UQF46" s="658"/>
      <c r="UQI46" s="288"/>
      <c r="UQJ46" s="312"/>
      <c r="UQK46" s="482"/>
      <c r="UQL46" s="312"/>
      <c r="UQM46" s="656"/>
      <c r="UQN46" s="657"/>
      <c r="UQO46" s="656"/>
      <c r="UQP46" s="657"/>
      <c r="UQQ46" s="656"/>
      <c r="UQR46" s="658"/>
      <c r="UQS46" s="656"/>
      <c r="UQT46" s="658"/>
      <c r="UQW46" s="288"/>
      <c r="UQX46" s="312"/>
      <c r="UQY46" s="482"/>
      <c r="UQZ46" s="312"/>
      <c r="URA46" s="656"/>
      <c r="URB46" s="657"/>
      <c r="URC46" s="656"/>
      <c r="URD46" s="657"/>
      <c r="URE46" s="656"/>
      <c r="URF46" s="658"/>
      <c r="URG46" s="656"/>
      <c r="URH46" s="658"/>
      <c r="URK46" s="288"/>
      <c r="URL46" s="312"/>
      <c r="URM46" s="482"/>
      <c r="URN46" s="312"/>
      <c r="URO46" s="656"/>
      <c r="URP46" s="657"/>
      <c r="URQ46" s="656"/>
      <c r="URR46" s="657"/>
      <c r="URS46" s="656"/>
      <c r="URT46" s="658"/>
      <c r="URU46" s="656"/>
      <c r="URV46" s="658"/>
      <c r="URY46" s="288"/>
      <c r="URZ46" s="312"/>
      <c r="USA46" s="482"/>
      <c r="USB46" s="312"/>
      <c r="USC46" s="656"/>
      <c r="USD46" s="657"/>
      <c r="USE46" s="656"/>
      <c r="USF46" s="657"/>
      <c r="USG46" s="656"/>
      <c r="USH46" s="658"/>
      <c r="USI46" s="656"/>
      <c r="USJ46" s="658"/>
      <c r="USM46" s="288"/>
      <c r="USN46" s="312"/>
      <c r="USO46" s="482"/>
      <c r="USP46" s="312"/>
      <c r="USQ46" s="656"/>
      <c r="USR46" s="657"/>
      <c r="USS46" s="656"/>
      <c r="UST46" s="657"/>
      <c r="USU46" s="656"/>
      <c r="USV46" s="658"/>
      <c r="USW46" s="656"/>
      <c r="USX46" s="658"/>
      <c r="UTA46" s="288"/>
      <c r="UTB46" s="312"/>
      <c r="UTC46" s="482"/>
      <c r="UTD46" s="312"/>
      <c r="UTE46" s="656"/>
      <c r="UTF46" s="657"/>
      <c r="UTG46" s="656"/>
      <c r="UTH46" s="657"/>
      <c r="UTI46" s="656"/>
      <c r="UTJ46" s="658"/>
      <c r="UTK46" s="656"/>
      <c r="UTL46" s="658"/>
      <c r="UTO46" s="288"/>
      <c r="UTP46" s="312"/>
      <c r="UTQ46" s="482"/>
      <c r="UTR46" s="312"/>
      <c r="UTS46" s="656"/>
      <c r="UTT46" s="657"/>
      <c r="UTU46" s="656"/>
      <c r="UTV46" s="657"/>
      <c r="UTW46" s="656"/>
      <c r="UTX46" s="658"/>
      <c r="UTY46" s="656"/>
      <c r="UTZ46" s="658"/>
      <c r="UUC46" s="288"/>
      <c r="UUD46" s="312"/>
      <c r="UUE46" s="482"/>
      <c r="UUF46" s="312"/>
      <c r="UUG46" s="656"/>
      <c r="UUH46" s="657"/>
      <c r="UUI46" s="656"/>
      <c r="UUJ46" s="657"/>
      <c r="UUK46" s="656"/>
      <c r="UUL46" s="658"/>
      <c r="UUM46" s="656"/>
      <c r="UUN46" s="658"/>
      <c r="UUQ46" s="288"/>
      <c r="UUR46" s="312"/>
      <c r="UUS46" s="482"/>
      <c r="UUT46" s="312"/>
      <c r="UUU46" s="656"/>
      <c r="UUV46" s="657"/>
      <c r="UUW46" s="656"/>
      <c r="UUX46" s="657"/>
      <c r="UUY46" s="656"/>
      <c r="UUZ46" s="658"/>
      <c r="UVA46" s="656"/>
      <c r="UVB46" s="658"/>
      <c r="UVE46" s="288"/>
      <c r="UVF46" s="312"/>
      <c r="UVG46" s="482"/>
      <c r="UVH46" s="312"/>
      <c r="UVI46" s="656"/>
      <c r="UVJ46" s="657"/>
      <c r="UVK46" s="656"/>
      <c r="UVL46" s="657"/>
      <c r="UVM46" s="656"/>
      <c r="UVN46" s="658"/>
      <c r="UVO46" s="656"/>
      <c r="UVP46" s="658"/>
      <c r="UVS46" s="288"/>
      <c r="UVT46" s="312"/>
      <c r="UVU46" s="482"/>
      <c r="UVV46" s="312"/>
      <c r="UVW46" s="656"/>
      <c r="UVX46" s="657"/>
      <c r="UVY46" s="656"/>
      <c r="UVZ46" s="657"/>
      <c r="UWA46" s="656"/>
      <c r="UWB46" s="658"/>
      <c r="UWC46" s="656"/>
      <c r="UWD46" s="658"/>
      <c r="UWG46" s="288"/>
      <c r="UWH46" s="312"/>
      <c r="UWI46" s="482"/>
      <c r="UWJ46" s="312"/>
      <c r="UWK46" s="656"/>
      <c r="UWL46" s="657"/>
      <c r="UWM46" s="656"/>
      <c r="UWN46" s="657"/>
      <c r="UWO46" s="656"/>
      <c r="UWP46" s="658"/>
      <c r="UWQ46" s="656"/>
      <c r="UWR46" s="658"/>
      <c r="UWU46" s="288"/>
      <c r="UWV46" s="312"/>
      <c r="UWW46" s="482"/>
      <c r="UWX46" s="312"/>
      <c r="UWY46" s="656"/>
      <c r="UWZ46" s="657"/>
      <c r="UXA46" s="656"/>
      <c r="UXB46" s="657"/>
      <c r="UXC46" s="656"/>
      <c r="UXD46" s="658"/>
      <c r="UXE46" s="656"/>
      <c r="UXF46" s="658"/>
      <c r="UXI46" s="288"/>
      <c r="UXJ46" s="312"/>
      <c r="UXK46" s="482"/>
      <c r="UXL46" s="312"/>
      <c r="UXM46" s="656"/>
      <c r="UXN46" s="657"/>
      <c r="UXO46" s="656"/>
      <c r="UXP46" s="657"/>
      <c r="UXQ46" s="656"/>
      <c r="UXR46" s="658"/>
      <c r="UXS46" s="656"/>
      <c r="UXT46" s="658"/>
      <c r="UXW46" s="288"/>
      <c r="UXX46" s="312"/>
      <c r="UXY46" s="482"/>
      <c r="UXZ46" s="312"/>
      <c r="UYA46" s="656"/>
      <c r="UYB46" s="657"/>
      <c r="UYC46" s="656"/>
      <c r="UYD46" s="657"/>
      <c r="UYE46" s="656"/>
      <c r="UYF46" s="658"/>
      <c r="UYG46" s="656"/>
      <c r="UYH46" s="658"/>
      <c r="UYK46" s="288"/>
      <c r="UYL46" s="312"/>
      <c r="UYM46" s="482"/>
      <c r="UYN46" s="312"/>
      <c r="UYO46" s="656"/>
      <c r="UYP46" s="657"/>
      <c r="UYQ46" s="656"/>
      <c r="UYR46" s="657"/>
      <c r="UYS46" s="656"/>
      <c r="UYT46" s="658"/>
      <c r="UYU46" s="656"/>
      <c r="UYV46" s="658"/>
      <c r="UYY46" s="288"/>
      <c r="UYZ46" s="312"/>
      <c r="UZA46" s="482"/>
      <c r="UZB46" s="312"/>
      <c r="UZC46" s="656"/>
      <c r="UZD46" s="657"/>
      <c r="UZE46" s="656"/>
      <c r="UZF46" s="657"/>
      <c r="UZG46" s="656"/>
      <c r="UZH46" s="658"/>
      <c r="UZI46" s="656"/>
      <c r="UZJ46" s="658"/>
      <c r="UZM46" s="288"/>
      <c r="UZN46" s="312"/>
      <c r="UZO46" s="482"/>
      <c r="UZP46" s="312"/>
      <c r="UZQ46" s="656"/>
      <c r="UZR46" s="657"/>
      <c r="UZS46" s="656"/>
      <c r="UZT46" s="657"/>
      <c r="UZU46" s="656"/>
      <c r="UZV46" s="658"/>
      <c r="UZW46" s="656"/>
      <c r="UZX46" s="658"/>
      <c r="VAA46" s="288"/>
      <c r="VAB46" s="312"/>
      <c r="VAC46" s="482"/>
      <c r="VAD46" s="312"/>
      <c r="VAE46" s="656"/>
      <c r="VAF46" s="657"/>
      <c r="VAG46" s="656"/>
      <c r="VAH46" s="657"/>
      <c r="VAI46" s="656"/>
      <c r="VAJ46" s="658"/>
      <c r="VAK46" s="656"/>
      <c r="VAL46" s="658"/>
      <c r="VAO46" s="288"/>
      <c r="VAP46" s="312"/>
      <c r="VAQ46" s="482"/>
      <c r="VAR46" s="312"/>
      <c r="VAS46" s="656"/>
      <c r="VAT46" s="657"/>
      <c r="VAU46" s="656"/>
      <c r="VAV46" s="657"/>
      <c r="VAW46" s="656"/>
      <c r="VAX46" s="658"/>
      <c r="VAY46" s="656"/>
      <c r="VAZ46" s="658"/>
      <c r="VBC46" s="288"/>
      <c r="VBD46" s="312"/>
      <c r="VBE46" s="482"/>
      <c r="VBF46" s="312"/>
      <c r="VBG46" s="656"/>
      <c r="VBH46" s="657"/>
      <c r="VBI46" s="656"/>
      <c r="VBJ46" s="657"/>
      <c r="VBK46" s="656"/>
      <c r="VBL46" s="658"/>
      <c r="VBM46" s="656"/>
      <c r="VBN46" s="658"/>
      <c r="VBQ46" s="288"/>
      <c r="VBR46" s="312"/>
      <c r="VBS46" s="482"/>
      <c r="VBT46" s="312"/>
      <c r="VBU46" s="656"/>
      <c r="VBV46" s="657"/>
      <c r="VBW46" s="656"/>
      <c r="VBX46" s="657"/>
      <c r="VBY46" s="656"/>
      <c r="VBZ46" s="658"/>
      <c r="VCA46" s="656"/>
      <c r="VCB46" s="658"/>
      <c r="VCE46" s="288"/>
      <c r="VCF46" s="312"/>
      <c r="VCG46" s="482"/>
      <c r="VCH46" s="312"/>
      <c r="VCI46" s="656"/>
      <c r="VCJ46" s="657"/>
      <c r="VCK46" s="656"/>
      <c r="VCL46" s="657"/>
      <c r="VCM46" s="656"/>
      <c r="VCN46" s="658"/>
      <c r="VCO46" s="656"/>
      <c r="VCP46" s="658"/>
      <c r="VCS46" s="288"/>
      <c r="VCT46" s="312"/>
      <c r="VCU46" s="482"/>
      <c r="VCV46" s="312"/>
      <c r="VCW46" s="656"/>
      <c r="VCX46" s="657"/>
      <c r="VCY46" s="656"/>
      <c r="VCZ46" s="657"/>
      <c r="VDA46" s="656"/>
      <c r="VDB46" s="658"/>
      <c r="VDC46" s="656"/>
      <c r="VDD46" s="658"/>
      <c r="VDG46" s="288"/>
      <c r="VDH46" s="312"/>
      <c r="VDI46" s="482"/>
      <c r="VDJ46" s="312"/>
      <c r="VDK46" s="656"/>
      <c r="VDL46" s="657"/>
      <c r="VDM46" s="656"/>
      <c r="VDN46" s="657"/>
      <c r="VDO46" s="656"/>
      <c r="VDP46" s="658"/>
      <c r="VDQ46" s="656"/>
      <c r="VDR46" s="658"/>
      <c r="VDU46" s="288"/>
      <c r="VDV46" s="312"/>
      <c r="VDW46" s="482"/>
      <c r="VDX46" s="312"/>
      <c r="VDY46" s="656"/>
      <c r="VDZ46" s="657"/>
      <c r="VEA46" s="656"/>
      <c r="VEB46" s="657"/>
      <c r="VEC46" s="656"/>
      <c r="VED46" s="658"/>
      <c r="VEE46" s="656"/>
      <c r="VEF46" s="658"/>
      <c r="VEI46" s="288"/>
      <c r="VEJ46" s="312"/>
      <c r="VEK46" s="482"/>
      <c r="VEL46" s="312"/>
      <c r="VEM46" s="656"/>
      <c r="VEN46" s="657"/>
      <c r="VEO46" s="656"/>
      <c r="VEP46" s="657"/>
      <c r="VEQ46" s="656"/>
      <c r="VER46" s="658"/>
      <c r="VES46" s="656"/>
      <c r="VET46" s="658"/>
      <c r="VEW46" s="288"/>
      <c r="VEX46" s="312"/>
      <c r="VEY46" s="482"/>
      <c r="VEZ46" s="312"/>
      <c r="VFA46" s="656"/>
      <c r="VFB46" s="657"/>
      <c r="VFC46" s="656"/>
      <c r="VFD46" s="657"/>
      <c r="VFE46" s="656"/>
      <c r="VFF46" s="658"/>
      <c r="VFG46" s="656"/>
      <c r="VFH46" s="658"/>
      <c r="VFK46" s="288"/>
      <c r="VFL46" s="312"/>
      <c r="VFM46" s="482"/>
      <c r="VFN46" s="312"/>
      <c r="VFO46" s="656"/>
      <c r="VFP46" s="657"/>
      <c r="VFQ46" s="656"/>
      <c r="VFR46" s="657"/>
      <c r="VFS46" s="656"/>
      <c r="VFT46" s="658"/>
      <c r="VFU46" s="656"/>
      <c r="VFV46" s="658"/>
      <c r="VFY46" s="288"/>
      <c r="VFZ46" s="312"/>
      <c r="VGA46" s="482"/>
      <c r="VGB46" s="312"/>
      <c r="VGC46" s="656"/>
      <c r="VGD46" s="657"/>
      <c r="VGE46" s="656"/>
      <c r="VGF46" s="657"/>
      <c r="VGG46" s="656"/>
      <c r="VGH46" s="658"/>
      <c r="VGI46" s="656"/>
      <c r="VGJ46" s="658"/>
      <c r="VGM46" s="288"/>
      <c r="VGN46" s="312"/>
      <c r="VGO46" s="482"/>
      <c r="VGP46" s="312"/>
      <c r="VGQ46" s="656"/>
      <c r="VGR46" s="657"/>
      <c r="VGS46" s="656"/>
      <c r="VGT46" s="657"/>
      <c r="VGU46" s="656"/>
      <c r="VGV46" s="658"/>
      <c r="VGW46" s="656"/>
      <c r="VGX46" s="658"/>
      <c r="VHA46" s="288"/>
      <c r="VHB46" s="312"/>
      <c r="VHC46" s="482"/>
      <c r="VHD46" s="312"/>
      <c r="VHE46" s="656"/>
      <c r="VHF46" s="657"/>
      <c r="VHG46" s="656"/>
      <c r="VHH46" s="657"/>
      <c r="VHI46" s="656"/>
      <c r="VHJ46" s="658"/>
      <c r="VHK46" s="656"/>
      <c r="VHL46" s="658"/>
      <c r="VHO46" s="288"/>
      <c r="VHP46" s="312"/>
      <c r="VHQ46" s="482"/>
      <c r="VHR46" s="312"/>
      <c r="VHS46" s="656"/>
      <c r="VHT46" s="657"/>
      <c r="VHU46" s="656"/>
      <c r="VHV46" s="657"/>
      <c r="VHW46" s="656"/>
      <c r="VHX46" s="658"/>
      <c r="VHY46" s="656"/>
      <c r="VHZ46" s="658"/>
      <c r="VIC46" s="288"/>
      <c r="VID46" s="312"/>
      <c r="VIE46" s="482"/>
      <c r="VIF46" s="312"/>
      <c r="VIG46" s="656"/>
      <c r="VIH46" s="657"/>
      <c r="VII46" s="656"/>
      <c r="VIJ46" s="657"/>
      <c r="VIK46" s="656"/>
      <c r="VIL46" s="658"/>
      <c r="VIM46" s="656"/>
      <c r="VIN46" s="658"/>
      <c r="VIQ46" s="288"/>
      <c r="VIR46" s="312"/>
      <c r="VIS46" s="482"/>
      <c r="VIT46" s="312"/>
      <c r="VIU46" s="656"/>
      <c r="VIV46" s="657"/>
      <c r="VIW46" s="656"/>
      <c r="VIX46" s="657"/>
      <c r="VIY46" s="656"/>
      <c r="VIZ46" s="658"/>
      <c r="VJA46" s="656"/>
      <c r="VJB46" s="658"/>
      <c r="VJE46" s="288"/>
      <c r="VJF46" s="312"/>
      <c r="VJG46" s="482"/>
      <c r="VJH46" s="312"/>
      <c r="VJI46" s="656"/>
      <c r="VJJ46" s="657"/>
      <c r="VJK46" s="656"/>
      <c r="VJL46" s="657"/>
      <c r="VJM46" s="656"/>
      <c r="VJN46" s="658"/>
      <c r="VJO46" s="656"/>
      <c r="VJP46" s="658"/>
      <c r="VJS46" s="288"/>
      <c r="VJT46" s="312"/>
      <c r="VJU46" s="482"/>
      <c r="VJV46" s="312"/>
      <c r="VJW46" s="656"/>
      <c r="VJX46" s="657"/>
      <c r="VJY46" s="656"/>
      <c r="VJZ46" s="657"/>
      <c r="VKA46" s="656"/>
      <c r="VKB46" s="658"/>
      <c r="VKC46" s="656"/>
      <c r="VKD46" s="658"/>
      <c r="VKG46" s="288"/>
      <c r="VKH46" s="312"/>
      <c r="VKI46" s="482"/>
      <c r="VKJ46" s="312"/>
      <c r="VKK46" s="656"/>
      <c r="VKL46" s="657"/>
      <c r="VKM46" s="656"/>
      <c r="VKN46" s="657"/>
      <c r="VKO46" s="656"/>
      <c r="VKP46" s="658"/>
      <c r="VKQ46" s="656"/>
      <c r="VKR46" s="658"/>
      <c r="VKU46" s="288"/>
      <c r="VKV46" s="312"/>
      <c r="VKW46" s="482"/>
      <c r="VKX46" s="312"/>
      <c r="VKY46" s="656"/>
      <c r="VKZ46" s="657"/>
      <c r="VLA46" s="656"/>
      <c r="VLB46" s="657"/>
      <c r="VLC46" s="656"/>
      <c r="VLD46" s="658"/>
      <c r="VLE46" s="656"/>
      <c r="VLF46" s="658"/>
      <c r="VLI46" s="288"/>
      <c r="VLJ46" s="312"/>
      <c r="VLK46" s="482"/>
      <c r="VLL46" s="312"/>
      <c r="VLM46" s="656"/>
      <c r="VLN46" s="657"/>
      <c r="VLO46" s="656"/>
      <c r="VLP46" s="657"/>
      <c r="VLQ46" s="656"/>
      <c r="VLR46" s="658"/>
      <c r="VLS46" s="656"/>
      <c r="VLT46" s="658"/>
      <c r="VLW46" s="288"/>
      <c r="VLX46" s="312"/>
      <c r="VLY46" s="482"/>
      <c r="VLZ46" s="312"/>
      <c r="VMA46" s="656"/>
      <c r="VMB46" s="657"/>
      <c r="VMC46" s="656"/>
      <c r="VMD46" s="657"/>
      <c r="VME46" s="656"/>
      <c r="VMF46" s="658"/>
      <c r="VMG46" s="656"/>
      <c r="VMH46" s="658"/>
      <c r="VMK46" s="288"/>
      <c r="VML46" s="312"/>
      <c r="VMM46" s="482"/>
      <c r="VMN46" s="312"/>
      <c r="VMO46" s="656"/>
      <c r="VMP46" s="657"/>
      <c r="VMQ46" s="656"/>
      <c r="VMR46" s="657"/>
      <c r="VMS46" s="656"/>
      <c r="VMT46" s="658"/>
      <c r="VMU46" s="656"/>
      <c r="VMV46" s="658"/>
      <c r="VMY46" s="288"/>
      <c r="VMZ46" s="312"/>
      <c r="VNA46" s="482"/>
      <c r="VNB46" s="312"/>
      <c r="VNC46" s="656"/>
      <c r="VND46" s="657"/>
      <c r="VNE46" s="656"/>
      <c r="VNF46" s="657"/>
      <c r="VNG46" s="656"/>
      <c r="VNH46" s="658"/>
      <c r="VNI46" s="656"/>
      <c r="VNJ46" s="658"/>
      <c r="VNM46" s="288"/>
      <c r="VNN46" s="312"/>
      <c r="VNO46" s="482"/>
      <c r="VNP46" s="312"/>
      <c r="VNQ46" s="656"/>
      <c r="VNR46" s="657"/>
      <c r="VNS46" s="656"/>
      <c r="VNT46" s="657"/>
      <c r="VNU46" s="656"/>
      <c r="VNV46" s="658"/>
      <c r="VNW46" s="656"/>
      <c r="VNX46" s="658"/>
      <c r="VOA46" s="288"/>
      <c r="VOB46" s="312"/>
      <c r="VOC46" s="482"/>
      <c r="VOD46" s="312"/>
      <c r="VOE46" s="656"/>
      <c r="VOF46" s="657"/>
      <c r="VOG46" s="656"/>
      <c r="VOH46" s="657"/>
      <c r="VOI46" s="656"/>
      <c r="VOJ46" s="658"/>
      <c r="VOK46" s="656"/>
      <c r="VOL46" s="658"/>
      <c r="VOO46" s="288"/>
      <c r="VOP46" s="312"/>
      <c r="VOQ46" s="482"/>
      <c r="VOR46" s="312"/>
      <c r="VOS46" s="656"/>
      <c r="VOT46" s="657"/>
      <c r="VOU46" s="656"/>
      <c r="VOV46" s="657"/>
      <c r="VOW46" s="656"/>
      <c r="VOX46" s="658"/>
      <c r="VOY46" s="656"/>
      <c r="VOZ46" s="658"/>
      <c r="VPC46" s="288"/>
      <c r="VPD46" s="312"/>
      <c r="VPE46" s="482"/>
      <c r="VPF46" s="312"/>
      <c r="VPG46" s="656"/>
      <c r="VPH46" s="657"/>
      <c r="VPI46" s="656"/>
      <c r="VPJ46" s="657"/>
      <c r="VPK46" s="656"/>
      <c r="VPL46" s="658"/>
      <c r="VPM46" s="656"/>
      <c r="VPN46" s="658"/>
      <c r="VPQ46" s="288"/>
      <c r="VPR46" s="312"/>
      <c r="VPS46" s="482"/>
      <c r="VPT46" s="312"/>
      <c r="VPU46" s="656"/>
      <c r="VPV46" s="657"/>
      <c r="VPW46" s="656"/>
      <c r="VPX46" s="657"/>
      <c r="VPY46" s="656"/>
      <c r="VPZ46" s="658"/>
      <c r="VQA46" s="656"/>
      <c r="VQB46" s="658"/>
      <c r="VQE46" s="288"/>
      <c r="VQF46" s="312"/>
      <c r="VQG46" s="482"/>
      <c r="VQH46" s="312"/>
      <c r="VQI46" s="656"/>
      <c r="VQJ46" s="657"/>
      <c r="VQK46" s="656"/>
      <c r="VQL46" s="657"/>
      <c r="VQM46" s="656"/>
      <c r="VQN46" s="658"/>
      <c r="VQO46" s="656"/>
      <c r="VQP46" s="658"/>
      <c r="VQS46" s="288"/>
      <c r="VQT46" s="312"/>
      <c r="VQU46" s="482"/>
      <c r="VQV46" s="312"/>
      <c r="VQW46" s="656"/>
      <c r="VQX46" s="657"/>
      <c r="VQY46" s="656"/>
      <c r="VQZ46" s="657"/>
      <c r="VRA46" s="656"/>
      <c r="VRB46" s="658"/>
      <c r="VRC46" s="656"/>
      <c r="VRD46" s="658"/>
      <c r="VRG46" s="288"/>
      <c r="VRH46" s="312"/>
      <c r="VRI46" s="482"/>
      <c r="VRJ46" s="312"/>
      <c r="VRK46" s="656"/>
      <c r="VRL46" s="657"/>
      <c r="VRM46" s="656"/>
      <c r="VRN46" s="657"/>
      <c r="VRO46" s="656"/>
      <c r="VRP46" s="658"/>
      <c r="VRQ46" s="656"/>
      <c r="VRR46" s="658"/>
      <c r="VRU46" s="288"/>
      <c r="VRV46" s="312"/>
      <c r="VRW46" s="482"/>
      <c r="VRX46" s="312"/>
      <c r="VRY46" s="656"/>
      <c r="VRZ46" s="657"/>
      <c r="VSA46" s="656"/>
      <c r="VSB46" s="657"/>
      <c r="VSC46" s="656"/>
      <c r="VSD46" s="658"/>
      <c r="VSE46" s="656"/>
      <c r="VSF46" s="658"/>
      <c r="VSI46" s="288"/>
      <c r="VSJ46" s="312"/>
      <c r="VSK46" s="482"/>
      <c r="VSL46" s="312"/>
      <c r="VSM46" s="656"/>
      <c r="VSN46" s="657"/>
      <c r="VSO46" s="656"/>
      <c r="VSP46" s="657"/>
      <c r="VSQ46" s="656"/>
      <c r="VSR46" s="658"/>
      <c r="VSS46" s="656"/>
      <c r="VST46" s="658"/>
      <c r="VSW46" s="288"/>
      <c r="VSX46" s="312"/>
      <c r="VSY46" s="482"/>
      <c r="VSZ46" s="312"/>
      <c r="VTA46" s="656"/>
      <c r="VTB46" s="657"/>
      <c r="VTC46" s="656"/>
      <c r="VTD46" s="657"/>
      <c r="VTE46" s="656"/>
      <c r="VTF46" s="658"/>
      <c r="VTG46" s="656"/>
      <c r="VTH46" s="658"/>
      <c r="VTK46" s="288"/>
      <c r="VTL46" s="312"/>
      <c r="VTM46" s="482"/>
      <c r="VTN46" s="312"/>
      <c r="VTO46" s="656"/>
      <c r="VTP46" s="657"/>
      <c r="VTQ46" s="656"/>
      <c r="VTR46" s="657"/>
      <c r="VTS46" s="656"/>
      <c r="VTT46" s="658"/>
      <c r="VTU46" s="656"/>
      <c r="VTV46" s="658"/>
      <c r="VTY46" s="288"/>
      <c r="VTZ46" s="312"/>
      <c r="VUA46" s="482"/>
      <c r="VUB46" s="312"/>
      <c r="VUC46" s="656"/>
      <c r="VUD46" s="657"/>
      <c r="VUE46" s="656"/>
      <c r="VUF46" s="657"/>
      <c r="VUG46" s="656"/>
      <c r="VUH46" s="658"/>
      <c r="VUI46" s="656"/>
      <c r="VUJ46" s="658"/>
      <c r="VUM46" s="288"/>
      <c r="VUN46" s="312"/>
      <c r="VUO46" s="482"/>
      <c r="VUP46" s="312"/>
      <c r="VUQ46" s="656"/>
      <c r="VUR46" s="657"/>
      <c r="VUS46" s="656"/>
      <c r="VUT46" s="657"/>
      <c r="VUU46" s="656"/>
      <c r="VUV46" s="658"/>
      <c r="VUW46" s="656"/>
      <c r="VUX46" s="658"/>
      <c r="VVA46" s="288"/>
      <c r="VVB46" s="312"/>
      <c r="VVC46" s="482"/>
      <c r="VVD46" s="312"/>
      <c r="VVE46" s="656"/>
      <c r="VVF46" s="657"/>
      <c r="VVG46" s="656"/>
      <c r="VVH46" s="657"/>
      <c r="VVI46" s="656"/>
      <c r="VVJ46" s="658"/>
      <c r="VVK46" s="656"/>
      <c r="VVL46" s="658"/>
      <c r="VVO46" s="288"/>
      <c r="VVP46" s="312"/>
      <c r="VVQ46" s="482"/>
      <c r="VVR46" s="312"/>
      <c r="VVS46" s="656"/>
      <c r="VVT46" s="657"/>
      <c r="VVU46" s="656"/>
      <c r="VVV46" s="657"/>
      <c r="VVW46" s="656"/>
      <c r="VVX46" s="658"/>
      <c r="VVY46" s="656"/>
      <c r="VVZ46" s="658"/>
      <c r="VWC46" s="288"/>
      <c r="VWD46" s="312"/>
      <c r="VWE46" s="482"/>
      <c r="VWF46" s="312"/>
      <c r="VWG46" s="656"/>
      <c r="VWH46" s="657"/>
      <c r="VWI46" s="656"/>
      <c r="VWJ46" s="657"/>
      <c r="VWK46" s="656"/>
      <c r="VWL46" s="658"/>
      <c r="VWM46" s="656"/>
      <c r="VWN46" s="658"/>
      <c r="VWQ46" s="288"/>
      <c r="VWR46" s="312"/>
      <c r="VWS46" s="482"/>
      <c r="VWT46" s="312"/>
      <c r="VWU46" s="656"/>
      <c r="VWV46" s="657"/>
      <c r="VWW46" s="656"/>
      <c r="VWX46" s="657"/>
      <c r="VWY46" s="656"/>
      <c r="VWZ46" s="658"/>
      <c r="VXA46" s="656"/>
      <c r="VXB46" s="658"/>
      <c r="VXE46" s="288"/>
      <c r="VXF46" s="312"/>
      <c r="VXG46" s="482"/>
      <c r="VXH46" s="312"/>
      <c r="VXI46" s="656"/>
      <c r="VXJ46" s="657"/>
      <c r="VXK46" s="656"/>
      <c r="VXL46" s="657"/>
      <c r="VXM46" s="656"/>
      <c r="VXN46" s="658"/>
      <c r="VXO46" s="656"/>
      <c r="VXP46" s="658"/>
      <c r="VXS46" s="288"/>
      <c r="VXT46" s="312"/>
      <c r="VXU46" s="482"/>
      <c r="VXV46" s="312"/>
      <c r="VXW46" s="656"/>
      <c r="VXX46" s="657"/>
      <c r="VXY46" s="656"/>
      <c r="VXZ46" s="657"/>
      <c r="VYA46" s="656"/>
      <c r="VYB46" s="658"/>
      <c r="VYC46" s="656"/>
      <c r="VYD46" s="658"/>
      <c r="VYG46" s="288"/>
      <c r="VYH46" s="312"/>
      <c r="VYI46" s="482"/>
      <c r="VYJ46" s="312"/>
      <c r="VYK46" s="656"/>
      <c r="VYL46" s="657"/>
      <c r="VYM46" s="656"/>
      <c r="VYN46" s="657"/>
      <c r="VYO46" s="656"/>
      <c r="VYP46" s="658"/>
      <c r="VYQ46" s="656"/>
      <c r="VYR46" s="658"/>
      <c r="VYU46" s="288"/>
      <c r="VYV46" s="312"/>
      <c r="VYW46" s="482"/>
      <c r="VYX46" s="312"/>
      <c r="VYY46" s="656"/>
      <c r="VYZ46" s="657"/>
      <c r="VZA46" s="656"/>
      <c r="VZB46" s="657"/>
      <c r="VZC46" s="656"/>
      <c r="VZD46" s="658"/>
      <c r="VZE46" s="656"/>
      <c r="VZF46" s="658"/>
      <c r="VZI46" s="288"/>
      <c r="VZJ46" s="312"/>
      <c r="VZK46" s="482"/>
      <c r="VZL46" s="312"/>
      <c r="VZM46" s="656"/>
      <c r="VZN46" s="657"/>
      <c r="VZO46" s="656"/>
      <c r="VZP46" s="657"/>
      <c r="VZQ46" s="656"/>
      <c r="VZR46" s="658"/>
      <c r="VZS46" s="656"/>
      <c r="VZT46" s="658"/>
      <c r="VZW46" s="288"/>
      <c r="VZX46" s="312"/>
      <c r="VZY46" s="482"/>
      <c r="VZZ46" s="312"/>
      <c r="WAA46" s="656"/>
      <c r="WAB46" s="657"/>
      <c r="WAC46" s="656"/>
      <c r="WAD46" s="657"/>
      <c r="WAE46" s="656"/>
      <c r="WAF46" s="658"/>
      <c r="WAG46" s="656"/>
      <c r="WAH46" s="658"/>
      <c r="WAK46" s="288"/>
      <c r="WAL46" s="312"/>
      <c r="WAM46" s="482"/>
      <c r="WAN46" s="312"/>
      <c r="WAO46" s="656"/>
      <c r="WAP46" s="657"/>
      <c r="WAQ46" s="656"/>
      <c r="WAR46" s="657"/>
      <c r="WAS46" s="656"/>
      <c r="WAT46" s="658"/>
      <c r="WAU46" s="656"/>
      <c r="WAV46" s="658"/>
      <c r="WAY46" s="288"/>
      <c r="WAZ46" s="312"/>
      <c r="WBA46" s="482"/>
      <c r="WBB46" s="312"/>
      <c r="WBC46" s="656"/>
      <c r="WBD46" s="657"/>
      <c r="WBE46" s="656"/>
      <c r="WBF46" s="657"/>
      <c r="WBG46" s="656"/>
      <c r="WBH46" s="658"/>
      <c r="WBI46" s="656"/>
      <c r="WBJ46" s="658"/>
      <c r="WBM46" s="288"/>
      <c r="WBN46" s="312"/>
      <c r="WBO46" s="482"/>
      <c r="WBP46" s="312"/>
      <c r="WBQ46" s="656"/>
      <c r="WBR46" s="657"/>
      <c r="WBS46" s="656"/>
      <c r="WBT46" s="657"/>
      <c r="WBU46" s="656"/>
      <c r="WBV46" s="658"/>
      <c r="WBW46" s="656"/>
      <c r="WBX46" s="658"/>
      <c r="WCA46" s="288"/>
      <c r="WCB46" s="312"/>
      <c r="WCC46" s="482"/>
      <c r="WCD46" s="312"/>
      <c r="WCE46" s="656"/>
      <c r="WCF46" s="657"/>
      <c r="WCG46" s="656"/>
      <c r="WCH46" s="657"/>
      <c r="WCI46" s="656"/>
      <c r="WCJ46" s="658"/>
      <c r="WCK46" s="656"/>
      <c r="WCL46" s="658"/>
      <c r="WCO46" s="288"/>
      <c r="WCP46" s="312"/>
      <c r="WCQ46" s="482"/>
      <c r="WCR46" s="312"/>
      <c r="WCS46" s="656"/>
      <c r="WCT46" s="657"/>
      <c r="WCU46" s="656"/>
      <c r="WCV46" s="657"/>
      <c r="WCW46" s="656"/>
      <c r="WCX46" s="658"/>
      <c r="WCY46" s="656"/>
      <c r="WCZ46" s="658"/>
      <c r="WDC46" s="288"/>
      <c r="WDD46" s="312"/>
      <c r="WDE46" s="482"/>
      <c r="WDF46" s="312"/>
      <c r="WDG46" s="656"/>
      <c r="WDH46" s="657"/>
      <c r="WDI46" s="656"/>
      <c r="WDJ46" s="657"/>
      <c r="WDK46" s="656"/>
      <c r="WDL46" s="658"/>
      <c r="WDM46" s="656"/>
      <c r="WDN46" s="658"/>
      <c r="WDQ46" s="288"/>
      <c r="WDR46" s="312"/>
      <c r="WDS46" s="482"/>
      <c r="WDT46" s="312"/>
      <c r="WDU46" s="656"/>
      <c r="WDV46" s="657"/>
      <c r="WDW46" s="656"/>
      <c r="WDX46" s="657"/>
      <c r="WDY46" s="656"/>
      <c r="WDZ46" s="658"/>
      <c r="WEA46" s="656"/>
      <c r="WEB46" s="658"/>
      <c r="WEE46" s="288"/>
      <c r="WEF46" s="312"/>
      <c r="WEG46" s="482"/>
      <c r="WEH46" s="312"/>
      <c r="WEI46" s="656"/>
      <c r="WEJ46" s="657"/>
      <c r="WEK46" s="656"/>
      <c r="WEL46" s="657"/>
      <c r="WEM46" s="656"/>
      <c r="WEN46" s="658"/>
      <c r="WEO46" s="656"/>
      <c r="WEP46" s="658"/>
      <c r="WES46" s="288"/>
      <c r="WET46" s="312"/>
      <c r="WEU46" s="482"/>
      <c r="WEV46" s="312"/>
      <c r="WEW46" s="656"/>
      <c r="WEX46" s="657"/>
      <c r="WEY46" s="656"/>
      <c r="WEZ46" s="657"/>
      <c r="WFA46" s="656"/>
      <c r="WFB46" s="658"/>
      <c r="WFC46" s="656"/>
      <c r="WFD46" s="658"/>
      <c r="WFG46" s="288"/>
      <c r="WFH46" s="312"/>
      <c r="WFI46" s="482"/>
      <c r="WFJ46" s="312"/>
      <c r="WFK46" s="656"/>
      <c r="WFL46" s="657"/>
      <c r="WFM46" s="656"/>
      <c r="WFN46" s="657"/>
      <c r="WFO46" s="656"/>
      <c r="WFP46" s="658"/>
      <c r="WFQ46" s="656"/>
      <c r="WFR46" s="658"/>
      <c r="WFU46" s="288"/>
      <c r="WFV46" s="312"/>
      <c r="WFW46" s="482"/>
      <c r="WFX46" s="312"/>
      <c r="WFY46" s="656"/>
      <c r="WFZ46" s="657"/>
      <c r="WGA46" s="656"/>
      <c r="WGB46" s="657"/>
      <c r="WGC46" s="656"/>
      <c r="WGD46" s="658"/>
      <c r="WGE46" s="656"/>
      <c r="WGF46" s="658"/>
      <c r="WGI46" s="288"/>
      <c r="WGJ46" s="312"/>
      <c r="WGK46" s="482"/>
      <c r="WGL46" s="312"/>
      <c r="WGM46" s="656"/>
      <c r="WGN46" s="657"/>
      <c r="WGO46" s="656"/>
      <c r="WGP46" s="657"/>
      <c r="WGQ46" s="656"/>
      <c r="WGR46" s="658"/>
      <c r="WGS46" s="656"/>
      <c r="WGT46" s="658"/>
      <c r="WGW46" s="288"/>
      <c r="WGX46" s="312"/>
      <c r="WGY46" s="482"/>
      <c r="WGZ46" s="312"/>
      <c r="WHA46" s="656"/>
      <c r="WHB46" s="657"/>
      <c r="WHC46" s="656"/>
      <c r="WHD46" s="657"/>
      <c r="WHE46" s="656"/>
      <c r="WHF46" s="658"/>
      <c r="WHG46" s="656"/>
      <c r="WHH46" s="658"/>
      <c r="WHK46" s="288"/>
      <c r="WHL46" s="312"/>
      <c r="WHM46" s="482"/>
      <c r="WHN46" s="312"/>
      <c r="WHO46" s="656"/>
      <c r="WHP46" s="657"/>
      <c r="WHQ46" s="656"/>
      <c r="WHR46" s="657"/>
      <c r="WHS46" s="656"/>
      <c r="WHT46" s="658"/>
      <c r="WHU46" s="656"/>
      <c r="WHV46" s="658"/>
      <c r="WHY46" s="288"/>
      <c r="WHZ46" s="312"/>
      <c r="WIA46" s="482"/>
      <c r="WIB46" s="312"/>
      <c r="WIC46" s="656"/>
      <c r="WID46" s="657"/>
      <c r="WIE46" s="656"/>
      <c r="WIF46" s="657"/>
      <c r="WIG46" s="656"/>
      <c r="WIH46" s="658"/>
      <c r="WII46" s="656"/>
      <c r="WIJ46" s="658"/>
      <c r="WIM46" s="288"/>
      <c r="WIN46" s="312"/>
      <c r="WIO46" s="482"/>
      <c r="WIP46" s="312"/>
      <c r="WIQ46" s="656"/>
      <c r="WIR46" s="657"/>
      <c r="WIS46" s="656"/>
      <c r="WIT46" s="657"/>
      <c r="WIU46" s="656"/>
      <c r="WIV46" s="658"/>
      <c r="WIW46" s="656"/>
      <c r="WIX46" s="658"/>
      <c r="WJA46" s="288"/>
      <c r="WJB46" s="312"/>
      <c r="WJC46" s="482"/>
      <c r="WJD46" s="312"/>
      <c r="WJE46" s="656"/>
      <c r="WJF46" s="657"/>
      <c r="WJG46" s="656"/>
      <c r="WJH46" s="657"/>
      <c r="WJI46" s="656"/>
      <c r="WJJ46" s="658"/>
      <c r="WJK46" s="656"/>
      <c r="WJL46" s="658"/>
      <c r="WJO46" s="288"/>
      <c r="WJP46" s="312"/>
      <c r="WJQ46" s="482"/>
      <c r="WJR46" s="312"/>
      <c r="WJS46" s="656"/>
      <c r="WJT46" s="657"/>
      <c r="WJU46" s="656"/>
      <c r="WJV46" s="657"/>
      <c r="WJW46" s="656"/>
      <c r="WJX46" s="658"/>
      <c r="WJY46" s="656"/>
      <c r="WJZ46" s="658"/>
      <c r="WKC46" s="288"/>
      <c r="WKD46" s="312"/>
      <c r="WKE46" s="482"/>
      <c r="WKF46" s="312"/>
      <c r="WKG46" s="656"/>
      <c r="WKH46" s="657"/>
      <c r="WKI46" s="656"/>
      <c r="WKJ46" s="657"/>
      <c r="WKK46" s="656"/>
      <c r="WKL46" s="658"/>
      <c r="WKM46" s="656"/>
      <c r="WKN46" s="658"/>
      <c r="WKQ46" s="288"/>
      <c r="WKR46" s="312"/>
      <c r="WKS46" s="482"/>
      <c r="WKT46" s="312"/>
      <c r="WKU46" s="656"/>
      <c r="WKV46" s="657"/>
      <c r="WKW46" s="656"/>
      <c r="WKX46" s="657"/>
      <c r="WKY46" s="656"/>
      <c r="WKZ46" s="658"/>
      <c r="WLA46" s="656"/>
      <c r="WLB46" s="658"/>
      <c r="WLE46" s="288"/>
      <c r="WLF46" s="312"/>
      <c r="WLG46" s="482"/>
      <c r="WLH46" s="312"/>
      <c r="WLI46" s="656"/>
      <c r="WLJ46" s="657"/>
      <c r="WLK46" s="656"/>
      <c r="WLL46" s="657"/>
      <c r="WLM46" s="656"/>
      <c r="WLN46" s="658"/>
      <c r="WLO46" s="656"/>
      <c r="WLP46" s="658"/>
      <c r="WLS46" s="288"/>
      <c r="WLT46" s="312"/>
      <c r="WLU46" s="482"/>
      <c r="WLV46" s="312"/>
      <c r="WLW46" s="656"/>
      <c r="WLX46" s="657"/>
      <c r="WLY46" s="656"/>
      <c r="WLZ46" s="657"/>
      <c r="WMA46" s="656"/>
      <c r="WMB46" s="658"/>
      <c r="WMC46" s="656"/>
      <c r="WMD46" s="658"/>
      <c r="WMG46" s="288"/>
      <c r="WMH46" s="312"/>
      <c r="WMI46" s="482"/>
      <c r="WMJ46" s="312"/>
      <c r="WMK46" s="656"/>
      <c r="WML46" s="657"/>
      <c r="WMM46" s="656"/>
      <c r="WMN46" s="657"/>
      <c r="WMO46" s="656"/>
      <c r="WMP46" s="658"/>
      <c r="WMQ46" s="656"/>
      <c r="WMR46" s="658"/>
      <c r="WMU46" s="288"/>
      <c r="WMV46" s="312"/>
      <c r="WMW46" s="482"/>
      <c r="WMX46" s="312"/>
      <c r="WMY46" s="656"/>
      <c r="WMZ46" s="657"/>
      <c r="WNA46" s="656"/>
      <c r="WNB46" s="657"/>
      <c r="WNC46" s="656"/>
      <c r="WND46" s="658"/>
      <c r="WNE46" s="656"/>
      <c r="WNF46" s="658"/>
      <c r="WNI46" s="288"/>
      <c r="WNJ46" s="312"/>
      <c r="WNK46" s="482"/>
      <c r="WNL46" s="312"/>
      <c r="WNM46" s="656"/>
      <c r="WNN46" s="657"/>
      <c r="WNO46" s="656"/>
      <c r="WNP46" s="657"/>
      <c r="WNQ46" s="656"/>
      <c r="WNR46" s="658"/>
      <c r="WNS46" s="656"/>
      <c r="WNT46" s="658"/>
      <c r="WNW46" s="288"/>
      <c r="WNX46" s="312"/>
      <c r="WNY46" s="482"/>
      <c r="WNZ46" s="312"/>
      <c r="WOA46" s="656"/>
      <c r="WOB46" s="657"/>
      <c r="WOC46" s="656"/>
      <c r="WOD46" s="657"/>
      <c r="WOE46" s="656"/>
      <c r="WOF46" s="658"/>
      <c r="WOG46" s="656"/>
      <c r="WOH46" s="658"/>
      <c r="WOK46" s="288"/>
      <c r="WOL46" s="312"/>
      <c r="WOM46" s="482"/>
      <c r="WON46" s="312"/>
      <c r="WOO46" s="656"/>
      <c r="WOP46" s="657"/>
      <c r="WOQ46" s="656"/>
      <c r="WOR46" s="657"/>
      <c r="WOS46" s="656"/>
      <c r="WOT46" s="658"/>
      <c r="WOU46" s="656"/>
      <c r="WOV46" s="658"/>
      <c r="WOY46" s="288"/>
      <c r="WOZ46" s="312"/>
      <c r="WPA46" s="482"/>
      <c r="WPB46" s="312"/>
      <c r="WPC46" s="656"/>
      <c r="WPD46" s="657"/>
      <c r="WPE46" s="656"/>
      <c r="WPF46" s="657"/>
      <c r="WPG46" s="656"/>
      <c r="WPH46" s="658"/>
      <c r="WPI46" s="656"/>
      <c r="WPJ46" s="658"/>
      <c r="WPM46" s="288"/>
      <c r="WPN46" s="312"/>
      <c r="WPO46" s="482"/>
      <c r="WPP46" s="312"/>
      <c r="WPQ46" s="656"/>
      <c r="WPR46" s="657"/>
      <c r="WPS46" s="656"/>
      <c r="WPT46" s="657"/>
      <c r="WPU46" s="656"/>
      <c r="WPV46" s="658"/>
      <c r="WPW46" s="656"/>
      <c r="WPX46" s="658"/>
      <c r="WQA46" s="288"/>
      <c r="WQB46" s="312"/>
      <c r="WQC46" s="482"/>
      <c r="WQD46" s="312"/>
      <c r="WQE46" s="656"/>
      <c r="WQF46" s="657"/>
      <c r="WQG46" s="656"/>
      <c r="WQH46" s="657"/>
      <c r="WQI46" s="656"/>
      <c r="WQJ46" s="658"/>
      <c r="WQK46" s="656"/>
      <c r="WQL46" s="658"/>
      <c r="WQO46" s="288"/>
      <c r="WQP46" s="312"/>
      <c r="WQQ46" s="482"/>
      <c r="WQR46" s="312"/>
      <c r="WQS46" s="656"/>
      <c r="WQT46" s="657"/>
      <c r="WQU46" s="656"/>
      <c r="WQV46" s="657"/>
      <c r="WQW46" s="656"/>
      <c r="WQX46" s="658"/>
      <c r="WQY46" s="656"/>
      <c r="WQZ46" s="658"/>
      <c r="WRC46" s="288"/>
      <c r="WRD46" s="312"/>
      <c r="WRE46" s="482"/>
      <c r="WRF46" s="312"/>
      <c r="WRG46" s="656"/>
      <c r="WRH46" s="657"/>
      <c r="WRI46" s="656"/>
      <c r="WRJ46" s="657"/>
      <c r="WRK46" s="656"/>
      <c r="WRL46" s="658"/>
      <c r="WRM46" s="656"/>
      <c r="WRN46" s="658"/>
      <c r="WRQ46" s="288"/>
      <c r="WRR46" s="312"/>
      <c r="WRS46" s="482"/>
      <c r="WRT46" s="312"/>
      <c r="WRU46" s="656"/>
      <c r="WRV46" s="657"/>
      <c r="WRW46" s="656"/>
      <c r="WRX46" s="657"/>
      <c r="WRY46" s="656"/>
      <c r="WRZ46" s="658"/>
      <c r="WSA46" s="656"/>
      <c r="WSB46" s="658"/>
      <c r="WSE46" s="288"/>
      <c r="WSF46" s="312"/>
      <c r="WSG46" s="482"/>
      <c r="WSH46" s="312"/>
      <c r="WSI46" s="656"/>
      <c r="WSJ46" s="657"/>
      <c r="WSK46" s="656"/>
      <c r="WSL46" s="657"/>
      <c r="WSM46" s="656"/>
      <c r="WSN46" s="658"/>
      <c r="WSO46" s="656"/>
      <c r="WSP46" s="658"/>
      <c r="WSS46" s="288"/>
      <c r="WST46" s="312"/>
      <c r="WSU46" s="482"/>
      <c r="WSV46" s="312"/>
      <c r="WSW46" s="656"/>
      <c r="WSX46" s="657"/>
      <c r="WSY46" s="656"/>
      <c r="WSZ46" s="657"/>
      <c r="WTA46" s="656"/>
      <c r="WTB46" s="658"/>
      <c r="WTC46" s="656"/>
      <c r="WTD46" s="658"/>
      <c r="WTG46" s="288"/>
      <c r="WTH46" s="312"/>
      <c r="WTI46" s="482"/>
      <c r="WTJ46" s="312"/>
      <c r="WTK46" s="656"/>
      <c r="WTL46" s="657"/>
      <c r="WTM46" s="656"/>
      <c r="WTN46" s="657"/>
      <c r="WTO46" s="656"/>
      <c r="WTP46" s="658"/>
      <c r="WTQ46" s="656"/>
      <c r="WTR46" s="658"/>
      <c r="WTU46" s="288"/>
      <c r="WTV46" s="312"/>
      <c r="WTW46" s="482"/>
      <c r="WTX46" s="312"/>
      <c r="WTY46" s="656"/>
      <c r="WTZ46" s="657"/>
      <c r="WUA46" s="656"/>
      <c r="WUB46" s="657"/>
      <c r="WUC46" s="656"/>
      <c r="WUD46" s="658"/>
      <c r="WUE46" s="656"/>
      <c r="WUF46" s="658"/>
      <c r="WUI46" s="288"/>
      <c r="WUJ46" s="312"/>
      <c r="WUK46" s="482"/>
      <c r="WUL46" s="312"/>
      <c r="WUM46" s="656"/>
      <c r="WUN46" s="657"/>
      <c r="WUO46" s="656"/>
      <c r="WUP46" s="657"/>
      <c r="WUQ46" s="656"/>
      <c r="WUR46" s="658"/>
      <c r="WUS46" s="656"/>
      <c r="WUT46" s="658"/>
      <c r="WUW46" s="288"/>
      <c r="WUX46" s="312"/>
      <c r="WUY46" s="482"/>
      <c r="WUZ46" s="312"/>
      <c r="WVA46" s="656"/>
      <c r="WVB46" s="657"/>
      <c r="WVC46" s="656"/>
      <c r="WVD46" s="657"/>
      <c r="WVE46" s="656"/>
      <c r="WVF46" s="658"/>
      <c r="WVG46" s="656"/>
      <c r="WVH46" s="658"/>
      <c r="WVK46" s="288"/>
      <c r="WVL46" s="312"/>
      <c r="WVM46" s="482"/>
      <c r="WVN46" s="312"/>
      <c r="WVO46" s="656"/>
      <c r="WVP46" s="657"/>
      <c r="WVQ46" s="656"/>
      <c r="WVR46" s="657"/>
      <c r="WVS46" s="656"/>
      <c r="WVT46" s="658"/>
      <c r="WVU46" s="656"/>
      <c r="WVV46" s="658"/>
      <c r="WVY46" s="288"/>
      <c r="WVZ46" s="312"/>
      <c r="WWA46" s="482"/>
      <c r="WWB46" s="312"/>
      <c r="WWC46" s="656"/>
      <c r="WWD46" s="657"/>
      <c r="WWE46" s="656"/>
      <c r="WWF46" s="657"/>
      <c r="WWG46" s="656"/>
      <c r="WWH46" s="658"/>
      <c r="WWI46" s="656"/>
      <c r="WWJ46" s="658"/>
      <c r="WWM46" s="288"/>
      <c r="WWN46" s="312"/>
      <c r="WWO46" s="482"/>
      <c r="WWP46" s="312"/>
      <c r="WWQ46" s="656"/>
      <c r="WWR46" s="657"/>
      <c r="WWS46" s="656"/>
      <c r="WWT46" s="657"/>
      <c r="WWU46" s="656"/>
      <c r="WWV46" s="658"/>
      <c r="WWW46" s="656"/>
      <c r="WWX46" s="658"/>
      <c r="WXA46" s="288"/>
      <c r="WXB46" s="312"/>
      <c r="WXC46" s="482"/>
      <c r="WXD46" s="312"/>
      <c r="WXE46" s="656"/>
      <c r="WXF46" s="657"/>
      <c r="WXG46" s="656"/>
      <c r="WXH46" s="657"/>
      <c r="WXI46" s="656"/>
      <c r="WXJ46" s="658"/>
      <c r="WXK46" s="656"/>
      <c r="WXL46" s="658"/>
      <c r="WXO46" s="288"/>
      <c r="WXP46" s="312"/>
      <c r="WXQ46" s="482"/>
      <c r="WXR46" s="312"/>
      <c r="WXS46" s="656"/>
      <c r="WXT46" s="657"/>
      <c r="WXU46" s="656"/>
      <c r="WXV46" s="657"/>
      <c r="WXW46" s="656"/>
      <c r="WXX46" s="658"/>
      <c r="WXY46" s="656"/>
      <c r="WXZ46" s="658"/>
      <c r="WYC46" s="288"/>
      <c r="WYD46" s="312"/>
      <c r="WYE46" s="482"/>
      <c r="WYF46" s="312"/>
      <c r="WYG46" s="656"/>
      <c r="WYH46" s="657"/>
      <c r="WYI46" s="656"/>
      <c r="WYJ46" s="657"/>
      <c r="WYK46" s="656"/>
      <c r="WYL46" s="658"/>
      <c r="WYM46" s="656"/>
      <c r="WYN46" s="658"/>
      <c r="WYQ46" s="288"/>
      <c r="WYR46" s="312"/>
      <c r="WYS46" s="482"/>
      <c r="WYT46" s="312"/>
      <c r="WYU46" s="656"/>
      <c r="WYV46" s="657"/>
      <c r="WYW46" s="656"/>
      <c r="WYX46" s="657"/>
      <c r="WYY46" s="656"/>
      <c r="WYZ46" s="658"/>
      <c r="WZA46" s="656"/>
      <c r="WZB46" s="658"/>
      <c r="WZE46" s="288"/>
      <c r="WZF46" s="312"/>
      <c r="WZG46" s="482"/>
      <c r="WZH46" s="312"/>
      <c r="WZI46" s="656"/>
      <c r="WZJ46" s="657"/>
      <c r="WZK46" s="656"/>
      <c r="WZL46" s="657"/>
      <c r="WZM46" s="656"/>
      <c r="WZN46" s="658"/>
      <c r="WZO46" s="656"/>
      <c r="WZP46" s="658"/>
      <c r="WZS46" s="288"/>
      <c r="WZT46" s="312"/>
      <c r="WZU46" s="482"/>
      <c r="WZV46" s="312"/>
      <c r="WZW46" s="656"/>
      <c r="WZX46" s="657"/>
      <c r="WZY46" s="656"/>
      <c r="WZZ46" s="657"/>
      <c r="XAA46" s="656"/>
      <c r="XAB46" s="658"/>
      <c r="XAC46" s="656"/>
      <c r="XAD46" s="658"/>
      <c r="XAG46" s="288"/>
      <c r="XAH46" s="312"/>
      <c r="XAI46" s="482"/>
      <c r="XAJ46" s="312"/>
      <c r="XAK46" s="656"/>
      <c r="XAL46" s="657"/>
      <c r="XAM46" s="656"/>
      <c r="XAN46" s="657"/>
      <c r="XAO46" s="656"/>
      <c r="XAP46" s="658"/>
      <c r="XAQ46" s="656"/>
      <c r="XAR46" s="658"/>
      <c r="XAU46" s="288"/>
      <c r="XAV46" s="312"/>
      <c r="XAW46" s="482"/>
      <c r="XAX46" s="312"/>
      <c r="XAY46" s="656"/>
      <c r="XAZ46" s="657"/>
      <c r="XBA46" s="656"/>
      <c r="XBB46" s="657"/>
      <c r="XBC46" s="656"/>
      <c r="XBD46" s="658"/>
      <c r="XBE46" s="656"/>
      <c r="XBF46" s="658"/>
      <c r="XBI46" s="288"/>
      <c r="XBJ46" s="312"/>
      <c r="XBK46" s="482"/>
      <c r="XBL46" s="312"/>
      <c r="XBM46" s="656"/>
      <c r="XBN46" s="657"/>
      <c r="XBO46" s="656"/>
      <c r="XBP46" s="657"/>
      <c r="XBQ46" s="656"/>
      <c r="XBR46" s="658"/>
      <c r="XBS46" s="656"/>
      <c r="XBT46" s="658"/>
      <c r="XBW46" s="288"/>
      <c r="XBX46" s="312"/>
      <c r="XBY46" s="482"/>
      <c r="XBZ46" s="312"/>
      <c r="XCA46" s="656"/>
      <c r="XCB46" s="657"/>
      <c r="XCC46" s="656"/>
      <c r="XCD46" s="657"/>
      <c r="XCE46" s="656"/>
      <c r="XCF46" s="658"/>
      <c r="XCG46" s="656"/>
      <c r="XCH46" s="658"/>
      <c r="XCK46" s="288"/>
      <c r="XCL46" s="312"/>
      <c r="XCM46" s="482"/>
      <c r="XCN46" s="312"/>
      <c r="XCO46" s="656"/>
      <c r="XCP46" s="657"/>
      <c r="XCQ46" s="656"/>
      <c r="XCR46" s="657"/>
      <c r="XCS46" s="656"/>
      <c r="XCT46" s="658"/>
      <c r="XCU46" s="656"/>
      <c r="XCV46" s="658"/>
      <c r="XCY46" s="288"/>
      <c r="XCZ46" s="312"/>
      <c r="XDA46" s="482"/>
      <c r="XDB46" s="312"/>
      <c r="XDC46" s="656"/>
      <c r="XDD46" s="657"/>
      <c r="XDE46" s="656"/>
      <c r="XDF46" s="657"/>
      <c r="XDG46" s="656"/>
      <c r="XDH46" s="658"/>
      <c r="XDI46" s="656"/>
      <c r="XDJ46" s="658"/>
      <c r="XDM46" s="288"/>
      <c r="XDN46" s="312"/>
      <c r="XDO46" s="482"/>
      <c r="XDP46" s="312"/>
      <c r="XDQ46" s="656"/>
      <c r="XDR46" s="657"/>
      <c r="XDS46" s="656"/>
      <c r="XDT46" s="657"/>
      <c r="XDU46" s="656"/>
      <c r="XDV46" s="658"/>
      <c r="XDW46" s="656"/>
      <c r="XDX46" s="658"/>
      <c r="XEA46" s="288"/>
      <c r="XEB46" s="312"/>
      <c r="XEC46" s="482"/>
      <c r="XED46" s="312"/>
      <c r="XEE46" s="656"/>
      <c r="XEF46" s="657"/>
      <c r="XEG46" s="656"/>
      <c r="XEH46" s="657"/>
      <c r="XEI46" s="656"/>
      <c r="XEJ46" s="658"/>
      <c r="XEK46" s="656"/>
      <c r="XEL46" s="658"/>
      <c r="XEO46" s="288"/>
      <c r="XEP46" s="312"/>
      <c r="XEQ46" s="482"/>
      <c r="XER46" s="312"/>
      <c r="XES46" s="656"/>
      <c r="XET46" s="657"/>
      <c r="XEU46" s="656"/>
      <c r="XEV46" s="657"/>
      <c r="XEW46" s="656"/>
      <c r="XEX46" s="658"/>
      <c r="XEY46" s="656"/>
      <c r="XEZ46" s="658"/>
      <c r="XFC46" s="288"/>
      <c r="XFD46" s="312"/>
    </row>
    <row r="47" spans="1:1022 1025:7168 7171:8190 8193:14336 14339:15358 15361:16384">
      <c r="A47" s="290" t="s">
        <v>266</v>
      </c>
      <c r="B47" s="290" t="s">
        <v>192</v>
      </c>
      <c r="C47" s="291">
        <f t="shared" ref="C47" si="9">+G47+I47</f>
        <v>351</v>
      </c>
      <c r="D47" s="313">
        <f>+Tabelle54[[#This Row],[Number of Contracts]]/$C$50</f>
        <v>9.3755008280356853E-3</v>
      </c>
      <c r="E47" s="462">
        <f t="shared" ref="E47" si="10">+H47+J47</f>
        <v>6609286.9299999997</v>
      </c>
      <c r="F47" s="313">
        <f>+Tabelle54[[#This Row],[Outstanding Discounted Principal Balance]]/$E$50</f>
        <v>9.8831625951970661E-3</v>
      </c>
      <c r="G47" s="733">
        <f t="shared" ref="G47:N47" si="11">+SUM(G35:G46)</f>
        <v>313</v>
      </c>
      <c r="H47" s="734">
        <f t="shared" si="11"/>
        <v>5800272.3700000001</v>
      </c>
      <c r="I47" s="733">
        <f t="shared" si="11"/>
        <v>38</v>
      </c>
      <c r="J47" s="734">
        <f t="shared" si="11"/>
        <v>809014.55999999994</v>
      </c>
      <c r="K47" s="735">
        <f t="shared" si="11"/>
        <v>291</v>
      </c>
      <c r="L47" s="736">
        <f t="shared" si="11"/>
        <v>5458651.8600000003</v>
      </c>
      <c r="M47" s="735">
        <f t="shared" si="11"/>
        <v>60</v>
      </c>
      <c r="N47" s="737">
        <f t="shared" si="11"/>
        <v>1150635.0699999998</v>
      </c>
      <c r="O47" s="464"/>
    </row>
    <row r="48" spans="1:1022 1025:7168 7171:8190 8193:14336 14339:15358 15361:16384" s="531" customFormat="1">
      <c r="A48" t="s">
        <v>394</v>
      </c>
      <c r="B48" t="s">
        <v>394</v>
      </c>
      <c r="C48" s="288">
        <f t="shared" si="5"/>
        <v>5002</v>
      </c>
      <c r="D48" s="312">
        <f>+Tabelle54[[#This Row],[Number of Contracts]]/$C$50</f>
        <v>0.13360756450665098</v>
      </c>
      <c r="E48" s="482">
        <f t="shared" si="6"/>
        <v>96880965.64000003</v>
      </c>
      <c r="F48" s="312">
        <f>+Tabelle54[[#This Row],[Outstanding Discounted Principal Balance]]/$E$50</f>
        <v>0.14487044456395246</v>
      </c>
      <c r="G48" s="667">
        <v>110</v>
      </c>
      <c r="H48" s="668">
        <v>3203781.39</v>
      </c>
      <c r="I48" s="667">
        <v>4892</v>
      </c>
      <c r="J48" s="668">
        <v>93677184.25000003</v>
      </c>
      <c r="K48" s="667">
        <v>4935</v>
      </c>
      <c r="L48" s="669">
        <v>95362702.180000022</v>
      </c>
      <c r="M48" s="667">
        <v>67</v>
      </c>
      <c r="N48" s="669">
        <v>1518263.4600000002</v>
      </c>
      <c r="O48" s="464"/>
    </row>
    <row r="49" spans="1:15" s="531" customFormat="1">
      <c r="A49" s="290" t="s">
        <v>395</v>
      </c>
      <c r="B49" s="290"/>
      <c r="C49" s="291">
        <f t="shared" si="5"/>
        <v>5002</v>
      </c>
      <c r="D49" s="313">
        <f>+Tabelle54[[#This Row],[Number of Contracts]]/$C$50</f>
        <v>0.13360756450665098</v>
      </c>
      <c r="E49" s="462">
        <f t="shared" si="6"/>
        <v>96880965.64000003</v>
      </c>
      <c r="F49" s="313">
        <f>+Tabelle54[[#This Row],[Outstanding Discounted Principal Balance]]/$E$50</f>
        <v>0.14487044456395246</v>
      </c>
      <c r="G49" s="659">
        <f>SUM(G48)</f>
        <v>110</v>
      </c>
      <c r="H49" s="660">
        <f t="shared" ref="H49:N49" si="12">SUM(H48)</f>
        <v>3203781.39</v>
      </c>
      <c r="I49" s="659">
        <f t="shared" si="12"/>
        <v>4892</v>
      </c>
      <c r="J49" s="660">
        <f t="shared" si="12"/>
        <v>93677184.25000003</v>
      </c>
      <c r="K49" s="661">
        <f t="shared" si="12"/>
        <v>4935</v>
      </c>
      <c r="L49" s="662">
        <f t="shared" si="12"/>
        <v>95362702.180000022</v>
      </c>
      <c r="M49" s="661">
        <f t="shared" si="12"/>
        <v>67</v>
      </c>
      <c r="N49" s="508">
        <f t="shared" si="12"/>
        <v>1518263.4600000002</v>
      </c>
      <c r="O49" s="464"/>
    </row>
    <row r="50" spans="1:15" s="531" customFormat="1">
      <c r="A50" s="318" t="s">
        <v>42</v>
      </c>
      <c r="B50" s="318" t="s">
        <v>192</v>
      </c>
      <c r="C50" s="532">
        <f t="shared" si="5"/>
        <v>37438</v>
      </c>
      <c r="D50" s="533">
        <f>+Tabelle54[[#This Row],[Number of Contracts]]/$C$50</f>
        <v>1</v>
      </c>
      <c r="E50" s="534">
        <f t="shared" si="6"/>
        <v>668742102.17000008</v>
      </c>
      <c r="F50" s="533">
        <f>+Tabelle54[[#This Row],[Outstanding Discounted Principal Balance]]/$E$50</f>
        <v>1</v>
      </c>
      <c r="G50" s="663">
        <f t="shared" ref="G50:N50" si="13">+G34+G47+G49</f>
        <v>28483</v>
      </c>
      <c r="H50" s="664">
        <f t="shared" si="13"/>
        <v>504582943.27999997</v>
      </c>
      <c r="I50" s="663">
        <f t="shared" si="13"/>
        <v>8955</v>
      </c>
      <c r="J50" s="664">
        <f t="shared" si="13"/>
        <v>164159158.89000005</v>
      </c>
      <c r="K50" s="665">
        <f t="shared" si="13"/>
        <v>33800</v>
      </c>
      <c r="L50" s="666">
        <f t="shared" si="13"/>
        <v>600514411.63</v>
      </c>
      <c r="M50" s="665">
        <f t="shared" si="13"/>
        <v>3638</v>
      </c>
      <c r="N50" s="654">
        <f t="shared" si="13"/>
        <v>68227690.539999992</v>
      </c>
      <c r="O50" s="464"/>
    </row>
    <row r="51" spans="1:15" s="531" customFormat="1">
      <c r="A51"/>
      <c r="B51"/>
      <c r="C51"/>
      <c r="D51"/>
      <c r="E51"/>
      <c r="F51"/>
      <c r="G51"/>
      <c r="H51" s="681"/>
      <c r="I51" s="681"/>
      <c r="J51" s="468"/>
      <c r="K51"/>
      <c r="L51" s="482"/>
      <c r="M51"/>
      <c r="N51" s="482"/>
      <c r="O51" s="464"/>
    </row>
    <row r="52" spans="1:15" s="531" customFormat="1">
      <c r="A52"/>
      <c r="B52"/>
      <c r="C52"/>
      <c r="D52"/>
      <c r="E52"/>
      <c r="F52"/>
      <c r="G52"/>
      <c r="H52" s="113"/>
      <c r="I52" s="682"/>
      <c r="J52" s="681"/>
      <c r="K52"/>
      <c r="L52" s="482"/>
      <c r="M52" s="680"/>
      <c r="N52" s="482"/>
      <c r="O52" s="464"/>
    </row>
    <row r="53" spans="1:15">
      <c r="H53" s="113"/>
      <c r="I53" s="682"/>
      <c r="J53" s="113"/>
      <c r="M53" s="680"/>
      <c r="O53" s="464"/>
    </row>
    <row r="54" spans="1:15">
      <c r="H54" s="113"/>
      <c r="I54" s="682"/>
      <c r="J54" s="113"/>
      <c r="M54" s="680"/>
      <c r="O54" s="464"/>
    </row>
    <row r="55" spans="1:15">
      <c r="H55" s="113"/>
      <c r="I55" s="682"/>
      <c r="J55" s="113"/>
      <c r="M55" s="680"/>
      <c r="O55" s="464"/>
    </row>
    <row r="56" spans="1:15" s="531" customFormat="1">
      <c r="A56"/>
      <c r="B56"/>
      <c r="C56"/>
      <c r="D56"/>
      <c r="E56"/>
      <c r="F56"/>
      <c r="G56"/>
      <c r="H56" s="113"/>
      <c r="I56" s="682"/>
      <c r="J56" s="113"/>
      <c r="K56"/>
      <c r="L56" s="482"/>
      <c r="M56" s="680"/>
      <c r="N56" s="482"/>
      <c r="O56" s="464"/>
    </row>
    <row r="57" spans="1:15" s="531" customFormat="1">
      <c r="A57"/>
      <c r="B57"/>
      <c r="C57"/>
      <c r="D57"/>
      <c r="E57"/>
      <c r="F57"/>
      <c r="G57"/>
      <c r="H57" s="113"/>
      <c r="I57" s="682"/>
      <c r="J57" s="113"/>
      <c r="K57"/>
      <c r="L57" s="482"/>
      <c r="M57" s="680"/>
      <c r="N57" s="482"/>
      <c r="O57" s="464"/>
    </row>
    <row r="58" spans="1:15" s="531" customFormat="1">
      <c r="A58"/>
      <c r="B58"/>
      <c r="C58"/>
      <c r="D58"/>
      <c r="E58"/>
      <c r="F58"/>
      <c r="G58"/>
      <c r="H58" s="113"/>
      <c r="I58" s="682"/>
      <c r="J58" s="113"/>
      <c r="K58"/>
      <c r="L58" s="482"/>
      <c r="M58" s="680"/>
      <c r="N58" s="482"/>
      <c r="O58" s="464"/>
    </row>
    <row r="59" spans="1:15" s="531" customFormat="1">
      <c r="A59"/>
      <c r="B59"/>
      <c r="C59"/>
      <c r="D59"/>
      <c r="E59"/>
      <c r="F59"/>
      <c r="G59"/>
      <c r="H59" s="113"/>
      <c r="I59" s="682"/>
      <c r="J59" s="113"/>
      <c r="K59"/>
      <c r="L59" s="482"/>
      <c r="M59" s="680"/>
      <c r="N59" s="482"/>
      <c r="O59" s="464"/>
    </row>
    <row r="60" spans="1:15" s="531" customFormat="1">
      <c r="A60"/>
      <c r="B60"/>
      <c r="C60"/>
      <c r="D60"/>
      <c r="E60"/>
      <c r="F60"/>
      <c r="G60"/>
      <c r="H60" s="113"/>
      <c r="I60" s="682"/>
      <c r="J60" s="113"/>
      <c r="K60"/>
      <c r="L60" s="482"/>
      <c r="M60" s="680"/>
      <c r="N60" s="482"/>
      <c r="O60" s="464"/>
    </row>
    <row r="61" spans="1:15" s="531" customFormat="1">
      <c r="A61"/>
      <c r="B61"/>
      <c r="C61"/>
      <c r="D61"/>
      <c r="E61"/>
      <c r="F61"/>
      <c r="G61"/>
      <c r="H61" s="113"/>
      <c r="I61" s="682"/>
      <c r="J61" s="113"/>
      <c r="K61"/>
      <c r="L61" s="482"/>
      <c r="M61" s="680"/>
      <c r="N61" s="482"/>
      <c r="O61" s="464"/>
    </row>
    <row r="62" spans="1:15">
      <c r="H62" s="113"/>
      <c r="I62" s="682"/>
      <c r="J62" s="113"/>
      <c r="M62" s="680"/>
      <c r="O62" s="464"/>
    </row>
    <row r="63" spans="1:15">
      <c r="H63" s="113"/>
      <c r="I63" s="682"/>
      <c r="J63" s="113"/>
      <c r="M63" s="680"/>
      <c r="O63" s="464"/>
    </row>
    <row r="64" spans="1:15">
      <c r="H64" s="113"/>
      <c r="I64" s="682"/>
      <c r="J64" s="113"/>
      <c r="M64" s="680"/>
      <c r="O64" s="464"/>
    </row>
    <row r="65" spans="8:15">
      <c r="H65" s="113"/>
      <c r="I65" s="682"/>
      <c r="J65" s="113"/>
      <c r="M65" s="680"/>
      <c r="O65" s="464"/>
    </row>
    <row r="66" spans="8:15">
      <c r="H66" s="113"/>
      <c r="I66" s="682"/>
      <c r="J66" s="113"/>
      <c r="M66" s="680"/>
      <c r="O66" s="464"/>
    </row>
    <row r="67" spans="8:15">
      <c r="H67" s="113"/>
      <c r="I67" s="682"/>
      <c r="J67" s="113"/>
      <c r="M67" s="680"/>
    </row>
    <row r="68" spans="8:15">
      <c r="H68" s="113"/>
      <c r="I68" s="682"/>
      <c r="J68" s="113"/>
      <c r="M68" s="680"/>
    </row>
    <row r="69" spans="8:15">
      <c r="H69" s="113"/>
      <c r="I69" s="682"/>
      <c r="J69" s="113"/>
      <c r="M69" s="680"/>
    </row>
    <row r="70" spans="8:15">
      <c r="H70" s="113"/>
      <c r="I70" s="682"/>
      <c r="J70" s="113"/>
      <c r="M70" s="680"/>
    </row>
    <row r="71" spans="8:15">
      <c r="H71" s="113"/>
      <c r="I71" s="682"/>
      <c r="J71" s="113"/>
      <c r="M71" s="680"/>
    </row>
    <row r="72" spans="8:15">
      <c r="H72" s="113"/>
      <c r="I72" s="682"/>
      <c r="J72" s="113"/>
      <c r="M72" s="680"/>
    </row>
    <row r="73" spans="8:15">
      <c r="H73" s="113"/>
      <c r="I73" s="682"/>
      <c r="J73" s="113"/>
      <c r="M73" s="680"/>
    </row>
    <row r="74" spans="8:15">
      <c r="H74" s="113"/>
      <c r="I74" s="682"/>
      <c r="J74" s="113"/>
      <c r="M74" s="680"/>
    </row>
    <row r="75" spans="8:15">
      <c r="H75" s="113"/>
      <c r="I75" s="682"/>
      <c r="J75" s="113"/>
      <c r="M75" s="680"/>
    </row>
    <row r="76" spans="8:15">
      <c r="H76" s="113"/>
      <c r="I76" s="682"/>
      <c r="J76" s="113"/>
      <c r="M76" s="680"/>
    </row>
    <row r="77" spans="8:15">
      <c r="H77" s="113"/>
      <c r="I77" s="682"/>
      <c r="J77" s="113"/>
      <c r="M77" s="680"/>
    </row>
    <row r="78" spans="8:15">
      <c r="H78" s="113"/>
      <c r="I78" s="682"/>
      <c r="J78" s="113"/>
      <c r="M78" s="680"/>
    </row>
    <row r="79" spans="8:15">
      <c r="H79" s="113"/>
      <c r="I79" s="682"/>
      <c r="J79" s="113"/>
      <c r="M79" s="680"/>
    </row>
    <row r="80" spans="8:15">
      <c r="H80" s="113"/>
      <c r="I80" s="682"/>
      <c r="J80" s="113"/>
      <c r="M80" s="680"/>
    </row>
    <row r="81" spans="8:13">
      <c r="H81" s="113"/>
      <c r="I81" s="682"/>
      <c r="J81" s="113"/>
      <c r="M81" s="680"/>
    </row>
    <row r="82" spans="8:13">
      <c r="H82" s="113"/>
      <c r="I82" s="682"/>
      <c r="J82" s="113"/>
      <c r="M82" s="680"/>
    </row>
    <row r="83" spans="8:13">
      <c r="H83" s="113"/>
      <c r="I83" s="682"/>
      <c r="J83" s="113"/>
      <c r="M83" s="680"/>
    </row>
    <row r="84" spans="8:13">
      <c r="H84" s="113"/>
      <c r="I84" s="682"/>
      <c r="J84" s="113"/>
      <c r="M84" s="680"/>
    </row>
    <row r="85" spans="8:13">
      <c r="H85" s="113"/>
      <c r="I85" s="682"/>
      <c r="J85" s="113"/>
      <c r="M85" s="680"/>
    </row>
    <row r="86" spans="8:13">
      <c r="H86" s="113"/>
      <c r="I86" s="113"/>
      <c r="J86" s="113"/>
    </row>
    <row r="87" spans="8:13">
      <c r="H87" s="113"/>
      <c r="I87" s="113"/>
      <c r="J87" s="113"/>
    </row>
    <row r="88" spans="8:13">
      <c r="H88" s="113"/>
      <c r="I88" s="113"/>
      <c r="J88" s="113"/>
    </row>
    <row r="89" spans="8:13">
      <c r="H89" s="113"/>
      <c r="I89" s="113"/>
      <c r="J89" s="113"/>
    </row>
    <row r="90" spans="8:13">
      <c r="H90" s="113"/>
      <c r="I90" s="113"/>
      <c r="J90" s="113"/>
    </row>
    <row r="91" spans="8:13">
      <c r="H91" s="113"/>
      <c r="I91" s="113"/>
      <c r="J91" s="113"/>
    </row>
    <row r="92" spans="8:13">
      <c r="H92" s="113"/>
      <c r="I92" s="113"/>
      <c r="J92" s="113"/>
    </row>
    <row r="93" spans="8:13">
      <c r="H93" s="113"/>
      <c r="I93" s="113"/>
      <c r="J93" s="113"/>
    </row>
    <row r="94" spans="8:13">
      <c r="H94" s="113"/>
      <c r="I94" s="113"/>
      <c r="J94" s="113"/>
    </row>
    <row r="95" spans="8:13">
      <c r="H95" s="113"/>
      <c r="I95" s="113"/>
      <c r="J95" s="113"/>
    </row>
    <row r="96" spans="8:13">
      <c r="H96" s="113"/>
      <c r="I96" s="113"/>
      <c r="J96" s="113"/>
    </row>
    <row r="97" spans="8:10">
      <c r="H97" s="113"/>
      <c r="I97" s="113"/>
      <c r="J97" s="113"/>
    </row>
  </sheetData>
  <mergeCells count="7">
    <mergeCell ref="C7:F8"/>
    <mergeCell ref="G7:J7"/>
    <mergeCell ref="K7:N7"/>
    <mergeCell ref="G8:H8"/>
    <mergeCell ref="I8:J8"/>
    <mergeCell ref="K8:L8"/>
    <mergeCell ref="M8:N8"/>
  </mergeCells>
  <hyperlinks>
    <hyperlink ref="N3" location="Index!A1" display="Index"/>
  </hyperlinks>
  <printOptions horizontalCentered="1" verticalCentered="1"/>
  <pageMargins left="0.70866141732283472" right="0.70866141732283472" top="0.78740157480314965" bottom="0.78740157480314965" header="0.31496062992125984" footer="0.31496062992125984"/>
  <pageSetup paperSize="9" scale="56" orientation="landscape" r:id="rId1"/>
  <headerFooter>
    <oddHeader>Page &amp;P</oddHeader>
    <oddFooter>&amp;C23&amp;R&amp;K00-046Banco Volkswagen S.A.
Rua Volkswagen, nº 291
São Paulo - SP - Brazil
Tel: +55 11 5582 5591
TESOU-ABS@vwfs.com</oddFooter>
  </headerFooter>
  <ignoredErrors>
    <ignoredError sqref="F25 F33 E10:E25 E35:E43 F10 F11 F12 F13 F14 F15 F16 F17 F18 F19 F20 F21 F22 F23 F24 F27 F28 F29 F30 F31 E33 E27:E31" evalError="1"/>
    <ignoredError sqref="C44" calculatedColumn="1"/>
  </ignoredErrors>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33"/>
    <pageSetUpPr fitToPage="1"/>
  </sheetPr>
  <dimension ref="A1:N47"/>
  <sheetViews>
    <sheetView showGridLines="0" zoomScale="85" zoomScaleNormal="85" workbookViewId="0">
      <selection activeCell="B10" sqref="B10"/>
    </sheetView>
  </sheetViews>
  <sheetFormatPr defaultColWidth="0" defaultRowHeight="12.75" customHeight="1" zeroHeight="1"/>
  <cols>
    <col min="1" max="1" width="20.7109375" customWidth="1"/>
    <col min="2" max="2" width="14.7109375" customWidth="1"/>
    <col min="3" max="3" width="12.7109375" customWidth="1"/>
    <col min="4" max="4" width="21.7109375" customWidth="1"/>
    <col min="5" max="5" width="14.7109375" customWidth="1"/>
    <col min="6" max="6" width="12.7109375" hidden="1" customWidth="1"/>
    <col min="7" max="7" width="21.7109375" hidden="1" customWidth="1"/>
    <col min="8" max="8" width="12.7109375" hidden="1" customWidth="1"/>
    <col min="9" max="9" width="21.7109375" hidden="1" customWidth="1"/>
    <col min="10" max="10" width="12.7109375" hidden="1" customWidth="1"/>
    <col min="11" max="11" width="21.7109375" hidden="1" customWidth="1"/>
    <col min="12" max="12" width="12.7109375" hidden="1" customWidth="1"/>
    <col min="13" max="13" width="21.7109375" hidden="1" customWidth="1"/>
    <col min="14" max="14" width="0.28515625" customWidth="1"/>
    <col min="15" max="16384" width="21.85546875" hidden="1"/>
  </cols>
  <sheetData>
    <row r="1" spans="1:13">
      <c r="A1" s="224"/>
      <c r="B1" s="224"/>
      <c r="C1" s="224"/>
      <c r="D1" s="224"/>
      <c r="E1" s="226" t="str">
        <f>+'Pool Data V'!N1</f>
        <v>Publication Date: 05.03.2020</v>
      </c>
      <c r="F1" s="224"/>
      <c r="G1" s="224"/>
      <c r="H1" s="224"/>
      <c r="I1" s="224"/>
      <c r="J1" s="224"/>
      <c r="K1" s="224"/>
      <c r="L1" s="224"/>
      <c r="M1" s="226" t="str">
        <f>+'Pool Data V'!N1</f>
        <v>Publication Date: 05.03.2020</v>
      </c>
    </row>
    <row r="2" spans="1:13" ht="14.25" customHeight="1">
      <c r="A2" s="224"/>
      <c r="B2" s="224"/>
      <c r="C2" s="224"/>
      <c r="D2" s="224"/>
      <c r="E2" s="134" t="str">
        <f>+'Pool Data V'!N2</f>
        <v>Period: 02.2020 / Period No. 9</v>
      </c>
      <c r="F2" s="224"/>
      <c r="G2" s="224"/>
      <c r="H2" s="224"/>
      <c r="I2" s="224"/>
      <c r="J2" s="224"/>
      <c r="K2" s="224"/>
      <c r="L2" s="224"/>
      <c r="M2" s="134" t="str">
        <f>+'Pool Data V'!N2</f>
        <v>Period: 02.2020 / Period No. 9</v>
      </c>
    </row>
    <row r="3" spans="1:13" ht="14.25" customHeight="1">
      <c r="A3" s="224"/>
      <c r="B3" s="224"/>
      <c r="C3" s="224"/>
      <c r="D3" s="224"/>
      <c r="E3" s="537" t="s">
        <v>236</v>
      </c>
      <c r="F3" s="224"/>
      <c r="G3" s="224"/>
      <c r="H3" s="224"/>
      <c r="I3" s="224"/>
      <c r="J3" s="224"/>
      <c r="K3" s="224"/>
      <c r="L3" s="224"/>
      <c r="M3" s="383" t="str">
        <f>+'Pool Data V'!N3</f>
        <v>Index</v>
      </c>
    </row>
    <row r="4" spans="1:13"/>
    <row r="5" spans="1:13" ht="15.75" customHeight="1">
      <c r="A5" s="118" t="s">
        <v>195</v>
      </c>
    </row>
    <row r="6" spans="1:13"/>
    <row r="7" spans="1:13">
      <c r="B7" s="798" t="s">
        <v>182</v>
      </c>
      <c r="C7" s="799"/>
      <c r="D7" s="799"/>
      <c r="E7" s="799"/>
      <c r="F7" s="854" t="s">
        <v>142</v>
      </c>
      <c r="G7" s="854"/>
      <c r="H7" s="854"/>
      <c r="I7" s="854"/>
      <c r="J7" s="854" t="s">
        <v>62</v>
      </c>
      <c r="K7" s="854"/>
      <c r="L7" s="854"/>
      <c r="M7" s="854"/>
    </row>
    <row r="8" spans="1:13">
      <c r="B8" s="835"/>
      <c r="C8" s="836"/>
      <c r="D8" s="836"/>
      <c r="E8" s="836"/>
      <c r="F8" s="839" t="s">
        <v>170</v>
      </c>
      <c r="G8" s="840"/>
      <c r="H8" s="839" t="s">
        <v>171</v>
      </c>
      <c r="I8" s="840"/>
      <c r="J8" s="839" t="s">
        <v>172</v>
      </c>
      <c r="K8" s="840"/>
      <c r="L8" s="839" t="s">
        <v>173</v>
      </c>
      <c r="M8" s="840"/>
    </row>
    <row r="9" spans="1:13" ht="51">
      <c r="A9" s="285" t="s">
        <v>547</v>
      </c>
      <c r="B9" s="308" t="s">
        <v>41</v>
      </c>
      <c r="C9" s="308" t="s">
        <v>169</v>
      </c>
      <c r="D9" s="308" t="s">
        <v>276</v>
      </c>
      <c r="E9" s="353" t="s">
        <v>379</v>
      </c>
      <c r="F9" s="395" t="s">
        <v>255</v>
      </c>
      <c r="G9" s="395" t="s">
        <v>479</v>
      </c>
      <c r="H9" s="395" t="s">
        <v>256</v>
      </c>
      <c r="I9" s="395" t="s">
        <v>484</v>
      </c>
      <c r="J9" s="395" t="s">
        <v>258</v>
      </c>
      <c r="K9" s="395" t="s">
        <v>485</v>
      </c>
      <c r="L9" s="395" t="s">
        <v>259</v>
      </c>
      <c r="M9" s="395" t="s">
        <v>486</v>
      </c>
    </row>
    <row r="10" spans="1:13">
      <c r="A10" s="286" t="s">
        <v>546</v>
      </c>
      <c r="B10" s="364">
        <v>15</v>
      </c>
      <c r="C10" s="363">
        <f>+Tabelle578[[#This Row],[Number of Contracts]]/$B$12</f>
        <v>4.0066242854853355E-4</v>
      </c>
      <c r="D10" s="538">
        <v>172322.94000000003</v>
      </c>
      <c r="E10" s="362">
        <f>+Tabelle578[[#This Row],[Outstanding Discounted Principal Balance]]/$D$12</f>
        <v>2.5768220580225118E-4</v>
      </c>
      <c r="F10" s="405">
        <v>0</v>
      </c>
      <c r="G10" s="517">
        <v>0</v>
      </c>
      <c r="H10" s="405">
        <v>0</v>
      </c>
      <c r="I10" s="517">
        <v>0</v>
      </c>
      <c r="J10" s="405">
        <v>0</v>
      </c>
      <c r="K10" s="517">
        <v>0</v>
      </c>
      <c r="L10" s="405">
        <v>0</v>
      </c>
      <c r="M10" s="517">
        <v>0</v>
      </c>
    </row>
    <row r="11" spans="1:13">
      <c r="A11" s="286" t="s">
        <v>545</v>
      </c>
      <c r="B11" s="364">
        <f>+B12-B10</f>
        <v>37423</v>
      </c>
      <c r="C11" s="363">
        <f t="shared" ref="C11:E11" si="0">+C12-C10</f>
        <v>0.99959933757145147</v>
      </c>
      <c r="D11" s="538">
        <f t="shared" si="0"/>
        <v>668569779.23000002</v>
      </c>
      <c r="E11" s="362">
        <f t="shared" si="0"/>
        <v>0.99974231779419775</v>
      </c>
      <c r="F11" s="405">
        <f>+'Pool Data V'!G46</f>
        <v>13</v>
      </c>
      <c r="G11" s="517">
        <f>+'Pool Data V'!H46</f>
        <v>312057.71000000002</v>
      </c>
      <c r="H11" s="405">
        <f>+'Pool Data V'!I46</f>
        <v>0</v>
      </c>
      <c r="I11" s="517">
        <f>+'Pool Data V'!J46</f>
        <v>0</v>
      </c>
      <c r="J11" s="405">
        <f>+'Pool Data V'!K46</f>
        <v>9</v>
      </c>
      <c r="K11" s="517">
        <f>+'Pool Data V'!L46</f>
        <v>245126.77</v>
      </c>
      <c r="L11" s="405">
        <f>+'Pool Data V'!M46</f>
        <v>4</v>
      </c>
      <c r="M11" s="517">
        <f>+'Pool Data V'!N46</f>
        <v>66930.94</v>
      </c>
    </row>
    <row r="12" spans="1:13">
      <c r="A12" s="318" t="s">
        <v>42</v>
      </c>
      <c r="B12" s="314">
        <f>+'Pool Data V'!C50</f>
        <v>37438</v>
      </c>
      <c r="C12" s="367">
        <f>+'Pool Data V'!D50</f>
        <v>1</v>
      </c>
      <c r="D12" s="529">
        <f>+'Pool Data V'!E50</f>
        <v>668742102.17000008</v>
      </c>
      <c r="E12" s="366">
        <f>+'Pool Data V'!F50</f>
        <v>1</v>
      </c>
      <c r="F12" s="406">
        <f>SUM(F8:F11)</f>
        <v>13</v>
      </c>
      <c r="G12" s="518">
        <f t="shared" ref="G12:M12" si="1">SUM(G8:G11)</f>
        <v>312057.71000000002</v>
      </c>
      <c r="H12" s="406">
        <f t="shared" si="1"/>
        <v>0</v>
      </c>
      <c r="I12" s="518">
        <f t="shared" si="1"/>
        <v>0</v>
      </c>
      <c r="J12" s="520">
        <f t="shared" si="1"/>
        <v>9</v>
      </c>
      <c r="K12" s="518">
        <f t="shared" si="1"/>
        <v>245126.77</v>
      </c>
      <c r="L12" s="539">
        <f t="shared" si="1"/>
        <v>4</v>
      </c>
      <c r="M12" s="518">
        <f t="shared" si="1"/>
        <v>66930.94</v>
      </c>
    </row>
    <row r="13" spans="1:13"/>
    <row r="14" spans="1:13" hidden="1"/>
    <row r="15" spans="1:13" ht="12.75" hidden="1" customHeight="1"/>
    <row r="16" spans="1:13"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sheetData>
  <mergeCells count="7">
    <mergeCell ref="B7:E8"/>
    <mergeCell ref="F7:I7"/>
    <mergeCell ref="J7:M7"/>
    <mergeCell ref="F8:G8"/>
    <mergeCell ref="H8:I8"/>
    <mergeCell ref="J8:K8"/>
    <mergeCell ref="L8:M8"/>
  </mergeCells>
  <hyperlinks>
    <hyperlink ref="M3" location="Index!A1" display="Index"/>
    <hyperlink ref="E3" location="Index!A1" display="Index"/>
  </hyperlinks>
  <printOptions horizontalCentered="1" verticalCentered="1"/>
  <pageMargins left="0.70866141732283472" right="0.70866141732283472" top="0.78740157480314965" bottom="0.78740157480314965" header="0.31496062992125984" footer="0.31496062992125984"/>
  <pageSetup paperSize="9" orientation="landscape" r:id="rId1"/>
  <headerFooter>
    <oddFooter>&amp;C24&amp;R&amp;K00-046Banco Volkswagen S.A.
Rua Volkswagen, nº 291
São Paulo - SP - Brazil
Tel: +55 11 5582 5831
FSBR-TESOU-ABS@vwfs.com</oddFooter>
  </headerFooter>
  <ignoredErrors>
    <ignoredError sqref="E10:M10 F11:M11 E11" calculatedColumn="1"/>
  </ignoredErrors>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499984740745262"/>
    <pageSetUpPr fitToPage="1"/>
  </sheetPr>
  <dimension ref="A1:N29"/>
  <sheetViews>
    <sheetView showGridLines="0" zoomScale="85" zoomScaleNormal="85" zoomScaleSheetLayoutView="100" workbookViewId="0">
      <selection activeCell="B17" sqref="B17:H17"/>
    </sheetView>
  </sheetViews>
  <sheetFormatPr defaultColWidth="0" defaultRowHeight="14.25"/>
  <cols>
    <col min="1" max="1" width="48.85546875" style="601" bestFit="1" customWidth="1"/>
    <col min="2" max="2" width="52" style="601" customWidth="1"/>
    <col min="3" max="7" width="13.5703125" style="601" customWidth="1"/>
    <col min="8" max="8" width="15.140625" style="601" bestFit="1" customWidth="1"/>
    <col min="9" max="9" width="0.7109375" style="601" customWidth="1"/>
    <col min="10" max="16384" width="11.42578125" style="601" hidden="1"/>
  </cols>
  <sheetData>
    <row r="1" spans="1:14" customFormat="1" ht="14.25" customHeight="1">
      <c r="A1" s="224"/>
      <c r="B1" s="224"/>
      <c r="C1" s="224"/>
      <c r="D1" s="224"/>
      <c r="E1" s="224"/>
      <c r="F1" s="224"/>
      <c r="G1" s="224"/>
      <c r="H1" s="529" t="str">
        <f>CONCATENATE("Publication Date: ",TEXT(Input!$C$7,"dd.MM.aaaa"))</f>
        <v>Publication Date: 05.03.2020</v>
      </c>
      <c r="I1" s="224"/>
      <c r="J1" s="224"/>
      <c r="K1" s="224"/>
      <c r="L1" s="535"/>
      <c r="M1" s="224"/>
      <c r="N1" s="529"/>
    </row>
    <row r="2" spans="1:14" customFormat="1" ht="14.25" customHeight="1">
      <c r="A2" s="224"/>
      <c r="B2" s="224"/>
      <c r="C2" s="224"/>
      <c r="D2" s="224"/>
      <c r="E2" s="224"/>
      <c r="F2" s="224"/>
      <c r="G2" s="224"/>
      <c r="H2" s="536" t="str">
        <f>CONCATENATE("Period: ",TEXT(Input!$C$5,"MM.AAAA")," / Period No. ",Input!$C$6)</f>
        <v>Period: 02.2020 / Period No. 9</v>
      </c>
      <c r="I2" s="224"/>
      <c r="J2" s="224"/>
      <c r="K2" s="224"/>
      <c r="L2" s="535"/>
      <c r="M2" s="224"/>
      <c r="N2" s="536"/>
    </row>
    <row r="3" spans="1:14" customFormat="1" ht="14.25" customHeight="1">
      <c r="A3" s="224"/>
      <c r="B3" s="224"/>
      <c r="C3" s="224"/>
      <c r="D3" s="224"/>
      <c r="E3" s="224"/>
      <c r="F3" s="224"/>
      <c r="G3" s="224"/>
      <c r="H3" s="537" t="s">
        <v>236</v>
      </c>
      <c r="I3" s="224"/>
      <c r="J3" s="224"/>
      <c r="K3" s="224"/>
      <c r="L3" s="535"/>
      <c r="M3" s="224"/>
      <c r="N3" s="537"/>
    </row>
    <row r="4" spans="1:14" ht="12.75" customHeight="1"/>
    <row r="5" spans="1:14" ht="15.75">
      <c r="A5" s="607" t="s">
        <v>457</v>
      </c>
    </row>
    <row r="7" spans="1:14" ht="15.75">
      <c r="B7" s="599"/>
      <c r="C7" s="600"/>
      <c r="D7" s="600"/>
      <c r="E7" s="861"/>
      <c r="F7" s="861"/>
      <c r="G7" s="861"/>
    </row>
    <row r="8" spans="1:14" ht="18">
      <c r="A8" s="602"/>
      <c r="B8" s="599"/>
      <c r="C8" s="603"/>
      <c r="D8" s="603"/>
      <c r="E8" s="603"/>
      <c r="F8" s="603"/>
      <c r="G8" s="604"/>
    </row>
    <row r="9" spans="1:14" ht="15">
      <c r="A9" s="605" t="s">
        <v>458</v>
      </c>
      <c r="B9" s="860" t="s">
        <v>459</v>
      </c>
      <c r="C9" s="860"/>
      <c r="D9" s="860"/>
      <c r="E9" s="860"/>
      <c r="F9" s="860"/>
      <c r="G9" s="860"/>
      <c r="H9" s="860"/>
    </row>
    <row r="10" spans="1:14" ht="15">
      <c r="B10" s="859"/>
      <c r="C10" s="859"/>
      <c r="D10" s="859"/>
      <c r="E10" s="859"/>
      <c r="F10" s="859"/>
      <c r="G10" s="859"/>
    </row>
    <row r="11" spans="1:14" ht="15">
      <c r="A11" s="605" t="s">
        <v>460</v>
      </c>
      <c r="B11" s="859" t="s">
        <v>461</v>
      </c>
      <c r="C11" s="859"/>
      <c r="D11" s="859"/>
      <c r="E11" s="859"/>
      <c r="F11" s="859"/>
      <c r="G11" s="859"/>
    </row>
    <row r="12" spans="1:14" ht="15">
      <c r="A12" s="605"/>
      <c r="B12" s="859"/>
      <c r="C12" s="859"/>
      <c r="D12" s="859"/>
      <c r="E12" s="859"/>
      <c r="F12" s="859"/>
      <c r="G12" s="859"/>
    </row>
    <row r="13" spans="1:14" ht="15" customHeight="1">
      <c r="A13" s="605" t="s">
        <v>462</v>
      </c>
      <c r="B13" s="859" t="s">
        <v>463</v>
      </c>
      <c r="C13" s="859"/>
      <c r="D13" s="859"/>
      <c r="E13" s="859"/>
      <c r="F13" s="859"/>
      <c r="G13" s="859"/>
      <c r="H13" s="859"/>
    </row>
    <row r="14" spans="1:14" ht="15">
      <c r="A14" s="605"/>
      <c r="B14" s="859"/>
      <c r="C14" s="859"/>
      <c r="D14" s="859"/>
      <c r="E14" s="859"/>
      <c r="F14" s="859"/>
      <c r="G14" s="859"/>
    </row>
    <row r="15" spans="1:14" ht="15">
      <c r="A15" s="605" t="s">
        <v>464</v>
      </c>
      <c r="B15" s="859" t="s">
        <v>465</v>
      </c>
      <c r="C15" s="859"/>
      <c r="D15" s="859"/>
      <c r="E15" s="859"/>
      <c r="F15" s="859"/>
      <c r="G15" s="859"/>
    </row>
    <row r="17" spans="1:8" ht="170.25" customHeight="1">
      <c r="A17" s="605" t="s">
        <v>466</v>
      </c>
      <c r="B17" s="860" t="s">
        <v>467</v>
      </c>
      <c r="C17" s="860"/>
      <c r="D17" s="860"/>
      <c r="E17" s="860"/>
      <c r="F17" s="860"/>
      <c r="G17" s="860"/>
      <c r="H17" s="860"/>
    </row>
    <row r="18" spans="1:8" ht="15">
      <c r="A18" s="605"/>
      <c r="B18" s="859"/>
      <c r="C18" s="859"/>
      <c r="D18" s="859"/>
      <c r="E18" s="859"/>
      <c r="F18" s="859"/>
      <c r="G18" s="859"/>
    </row>
    <row r="19" spans="1:8" ht="15">
      <c r="A19" s="605" t="s">
        <v>468</v>
      </c>
      <c r="B19" s="859" t="s">
        <v>469</v>
      </c>
      <c r="C19" s="859"/>
      <c r="D19" s="859"/>
      <c r="E19" s="859"/>
      <c r="F19" s="859"/>
      <c r="G19" s="859"/>
    </row>
    <row r="20" spans="1:8" ht="15">
      <c r="A20" s="605"/>
      <c r="B20" s="606"/>
      <c r="C20" s="606"/>
      <c r="D20" s="606"/>
      <c r="E20" s="606"/>
      <c r="F20" s="606"/>
      <c r="G20" s="606"/>
    </row>
    <row r="21" spans="1:8" ht="80.25" customHeight="1">
      <c r="A21" s="605" t="s">
        <v>470</v>
      </c>
      <c r="B21" s="860" t="s">
        <v>471</v>
      </c>
      <c r="C21" s="860"/>
      <c r="D21" s="860"/>
      <c r="E21" s="860"/>
      <c r="F21" s="860"/>
      <c r="G21" s="860"/>
      <c r="H21" s="860"/>
    </row>
    <row r="22" spans="1:8" ht="15">
      <c r="A22" s="605"/>
      <c r="B22" s="606"/>
      <c r="C22" s="606"/>
      <c r="D22" s="606"/>
      <c r="E22" s="606"/>
      <c r="F22" s="606"/>
      <c r="G22" s="606"/>
    </row>
    <row r="23" spans="1:8" ht="15" customHeight="1">
      <c r="A23" s="605" t="s">
        <v>472</v>
      </c>
      <c r="B23" s="859" t="s">
        <v>637</v>
      </c>
      <c r="C23" s="859"/>
      <c r="D23" s="859"/>
      <c r="E23" s="859"/>
      <c r="F23" s="859"/>
      <c r="G23" s="859"/>
      <c r="H23" s="859"/>
    </row>
    <row r="25" spans="1:8" ht="15">
      <c r="A25" s="605" t="s">
        <v>473</v>
      </c>
      <c r="B25" s="859" t="s">
        <v>474</v>
      </c>
      <c r="C25" s="859"/>
      <c r="D25" s="859"/>
      <c r="E25" s="859"/>
      <c r="F25" s="859"/>
      <c r="G25" s="859"/>
      <c r="H25" s="859"/>
    </row>
    <row r="26" spans="1:8" ht="15">
      <c r="A26" s="605"/>
      <c r="B26" s="859"/>
      <c r="C26" s="859"/>
      <c r="D26" s="859"/>
      <c r="E26" s="859"/>
      <c r="F26" s="859"/>
      <c r="G26" s="859"/>
    </row>
    <row r="27" spans="1:8" ht="15" customHeight="1">
      <c r="A27" s="605" t="s">
        <v>475</v>
      </c>
      <c r="B27" s="859" t="s">
        <v>476</v>
      </c>
      <c r="C27" s="859"/>
      <c r="D27" s="859"/>
      <c r="E27" s="859"/>
      <c r="F27" s="859"/>
      <c r="G27" s="859"/>
      <c r="H27" s="859"/>
    </row>
    <row r="28" spans="1:8" ht="15">
      <c r="A28" s="605"/>
      <c r="B28" s="606"/>
      <c r="C28" s="606"/>
      <c r="D28" s="606"/>
      <c r="E28" s="606"/>
      <c r="F28" s="606"/>
      <c r="G28" s="606"/>
    </row>
    <row r="29" spans="1:8" ht="45.75" customHeight="1">
      <c r="A29" s="605" t="s">
        <v>477</v>
      </c>
      <c r="B29" s="860" t="s">
        <v>478</v>
      </c>
      <c r="C29" s="860"/>
      <c r="D29" s="860"/>
      <c r="E29" s="860"/>
      <c r="F29" s="860"/>
      <c r="G29" s="860"/>
      <c r="H29" s="860"/>
    </row>
  </sheetData>
  <mergeCells count="17">
    <mergeCell ref="B29:H29"/>
    <mergeCell ref="B19:G19"/>
    <mergeCell ref="B21:H21"/>
    <mergeCell ref="B23:H23"/>
    <mergeCell ref="B25:H25"/>
    <mergeCell ref="B26:G26"/>
    <mergeCell ref="B27:H27"/>
    <mergeCell ref="B14:G14"/>
    <mergeCell ref="B15:G15"/>
    <mergeCell ref="B17:H17"/>
    <mergeCell ref="B18:G18"/>
    <mergeCell ref="E7:G7"/>
    <mergeCell ref="B9:H9"/>
    <mergeCell ref="B10:G10"/>
    <mergeCell ref="B11:G11"/>
    <mergeCell ref="B12:G12"/>
    <mergeCell ref="B13:H13"/>
  </mergeCells>
  <hyperlinks>
    <hyperlink ref="H3" location="Index!A1" display="Index"/>
  </hyperlinks>
  <pageMargins left="0.70866141732283472" right="0.70866141732283472" top="0.74803149606299213" bottom="0.74803149606299213" header="0.31496062992125984" footer="0.31496062992125984"/>
  <pageSetup paperSize="9" scale="71" orientation="landscape" r:id="rId1"/>
  <headerFooter>
    <oddFooter>&amp;C25&amp;R&amp;K8B8B8BBanco Volkswagen S.A.
Rua Volkswagen, nº 291
São Paulo - SP - Brazil
Tel: +55 11 5582 5591
TESOU-ABS@vwfs.com</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K20"/>
  <sheetViews>
    <sheetView showGridLines="0" zoomScale="85" zoomScaleNormal="85" workbookViewId="0">
      <pane xSplit="1" topLeftCell="B1" activePane="topRight" state="frozen"/>
      <selection pane="topRight" activeCell="I17" sqref="I17"/>
    </sheetView>
  </sheetViews>
  <sheetFormatPr defaultColWidth="11.42578125" defaultRowHeight="15"/>
  <cols>
    <col min="1" max="1" width="34.42578125" style="544" bestFit="1" customWidth="1"/>
    <col min="2" max="63" width="10.28515625" style="544" bestFit="1" customWidth="1"/>
    <col min="64" max="16384" width="11.42578125" style="544"/>
  </cols>
  <sheetData>
    <row r="1" spans="1:63" s="558" customFormat="1">
      <c r="A1" s="557" t="s">
        <v>433</v>
      </c>
      <c r="B1" s="540">
        <f t="shared" ref="B1:I1" si="0">+B15</f>
        <v>43677</v>
      </c>
      <c r="C1" s="540">
        <f t="shared" si="0"/>
        <v>43708</v>
      </c>
      <c r="D1" s="540">
        <f t="shared" si="0"/>
        <v>43738</v>
      </c>
      <c r="E1" s="540">
        <f t="shared" si="0"/>
        <v>43769</v>
      </c>
      <c r="F1" s="540">
        <f t="shared" si="0"/>
        <v>43799</v>
      </c>
      <c r="G1" s="540">
        <f t="shared" si="0"/>
        <v>43830</v>
      </c>
      <c r="H1" s="540">
        <f t="shared" si="0"/>
        <v>43861</v>
      </c>
      <c r="I1" s="540">
        <f t="shared" si="0"/>
        <v>43890</v>
      </c>
      <c r="J1" s="540">
        <f t="shared" ref="J1:AL1" si="1">+J15</f>
        <v>43921</v>
      </c>
      <c r="K1" s="540">
        <f t="shared" si="1"/>
        <v>43951</v>
      </c>
      <c r="L1" s="540">
        <f t="shared" si="1"/>
        <v>43982</v>
      </c>
      <c r="M1" s="540">
        <f t="shared" si="1"/>
        <v>44012</v>
      </c>
      <c r="N1" s="540">
        <f t="shared" si="1"/>
        <v>44043</v>
      </c>
      <c r="O1" s="540">
        <f t="shared" si="1"/>
        <v>44074</v>
      </c>
      <c r="P1" s="540">
        <f t="shared" si="1"/>
        <v>44104</v>
      </c>
      <c r="Q1" s="540">
        <f t="shared" si="1"/>
        <v>44135</v>
      </c>
      <c r="R1" s="540">
        <f t="shared" si="1"/>
        <v>44165</v>
      </c>
      <c r="S1" s="540">
        <f t="shared" si="1"/>
        <v>44196</v>
      </c>
      <c r="T1" s="540">
        <f t="shared" si="1"/>
        <v>44227</v>
      </c>
      <c r="U1" s="540">
        <f t="shared" si="1"/>
        <v>44255</v>
      </c>
      <c r="V1" s="540">
        <f t="shared" si="1"/>
        <v>44286</v>
      </c>
      <c r="W1" s="540">
        <f t="shared" si="1"/>
        <v>44316</v>
      </c>
      <c r="X1" s="540">
        <f t="shared" si="1"/>
        <v>44347</v>
      </c>
      <c r="Y1" s="540">
        <f t="shared" si="1"/>
        <v>44377</v>
      </c>
      <c r="Z1" s="540">
        <f t="shared" si="1"/>
        <v>44408</v>
      </c>
      <c r="AA1" s="540">
        <f t="shared" si="1"/>
        <v>44439</v>
      </c>
      <c r="AB1" s="540">
        <f t="shared" si="1"/>
        <v>44469</v>
      </c>
      <c r="AC1" s="540">
        <f t="shared" si="1"/>
        <v>44500</v>
      </c>
      <c r="AD1" s="540">
        <f t="shared" si="1"/>
        <v>44530</v>
      </c>
      <c r="AE1" s="540">
        <f t="shared" si="1"/>
        <v>44561</v>
      </c>
      <c r="AF1" s="540">
        <f t="shared" si="1"/>
        <v>44592</v>
      </c>
      <c r="AG1" s="540">
        <f t="shared" si="1"/>
        <v>44620</v>
      </c>
      <c r="AH1" s="540">
        <f t="shared" si="1"/>
        <v>44651</v>
      </c>
      <c r="AI1" s="540">
        <f t="shared" si="1"/>
        <v>44681</v>
      </c>
      <c r="AJ1" s="540">
        <f t="shared" si="1"/>
        <v>44712</v>
      </c>
      <c r="AK1" s="540">
        <f t="shared" si="1"/>
        <v>44742</v>
      </c>
      <c r="AL1" s="540">
        <f t="shared" si="1"/>
        <v>44773</v>
      </c>
      <c r="AM1" s="540">
        <f t="shared" ref="AM1:BK1" si="2">+AM15</f>
        <v>44804</v>
      </c>
      <c r="AN1" s="540">
        <f t="shared" si="2"/>
        <v>44834</v>
      </c>
      <c r="AO1" s="540">
        <f t="shared" si="2"/>
        <v>44865</v>
      </c>
      <c r="AP1" s="540">
        <f t="shared" si="2"/>
        <v>44895</v>
      </c>
      <c r="AQ1" s="540">
        <f t="shared" si="2"/>
        <v>44926</v>
      </c>
      <c r="AR1" s="540">
        <f t="shared" si="2"/>
        <v>44957</v>
      </c>
      <c r="AS1" s="540">
        <f t="shared" si="2"/>
        <v>44985</v>
      </c>
      <c r="AT1" s="540">
        <f t="shared" si="2"/>
        <v>45016</v>
      </c>
      <c r="AU1" s="540">
        <f t="shared" si="2"/>
        <v>45046</v>
      </c>
      <c r="AV1" s="540">
        <f t="shared" si="2"/>
        <v>45077</v>
      </c>
      <c r="AW1" s="540">
        <f t="shared" si="2"/>
        <v>45107</v>
      </c>
      <c r="AX1" s="540">
        <f t="shared" si="2"/>
        <v>45138</v>
      </c>
      <c r="AY1" s="540">
        <f t="shared" si="2"/>
        <v>45169</v>
      </c>
      <c r="AZ1" s="540">
        <f t="shared" si="2"/>
        <v>45199</v>
      </c>
      <c r="BA1" s="540">
        <f t="shared" si="2"/>
        <v>45230</v>
      </c>
      <c r="BB1" s="540">
        <f t="shared" si="2"/>
        <v>45260</v>
      </c>
      <c r="BC1" s="540">
        <f t="shared" si="2"/>
        <v>45291</v>
      </c>
      <c r="BD1" s="540">
        <f t="shared" si="2"/>
        <v>45322</v>
      </c>
      <c r="BE1" s="540">
        <f t="shared" si="2"/>
        <v>45351</v>
      </c>
      <c r="BF1" s="540">
        <f t="shared" si="2"/>
        <v>45382</v>
      </c>
      <c r="BG1" s="540">
        <f t="shared" si="2"/>
        <v>45412</v>
      </c>
      <c r="BH1" s="540">
        <f t="shared" si="2"/>
        <v>45443</v>
      </c>
      <c r="BI1" s="540">
        <f t="shared" si="2"/>
        <v>45473</v>
      </c>
      <c r="BJ1" s="540">
        <f t="shared" si="2"/>
        <v>45504</v>
      </c>
      <c r="BK1" s="540">
        <f t="shared" si="2"/>
        <v>45535</v>
      </c>
    </row>
    <row r="2" spans="1:63" s="464" customFormat="1" ht="12.75">
      <c r="A2" s="542"/>
      <c r="B2" s="543">
        <f t="shared" ref="B2:AL2" si="3">B1</f>
        <v>43677</v>
      </c>
      <c r="C2" s="543">
        <f t="shared" si="3"/>
        <v>43708</v>
      </c>
      <c r="D2" s="543">
        <f t="shared" si="3"/>
        <v>43738</v>
      </c>
      <c r="E2" s="543">
        <f t="shared" si="3"/>
        <v>43769</v>
      </c>
      <c r="F2" s="543">
        <f t="shared" si="3"/>
        <v>43799</v>
      </c>
      <c r="G2" s="543">
        <f t="shared" si="3"/>
        <v>43830</v>
      </c>
      <c r="H2" s="543">
        <f t="shared" si="3"/>
        <v>43861</v>
      </c>
      <c r="I2" s="543">
        <f t="shared" si="3"/>
        <v>43890</v>
      </c>
      <c r="J2" s="543">
        <f t="shared" si="3"/>
        <v>43921</v>
      </c>
      <c r="K2" s="543">
        <f t="shared" si="3"/>
        <v>43951</v>
      </c>
      <c r="L2" s="543">
        <f t="shared" si="3"/>
        <v>43982</v>
      </c>
      <c r="M2" s="543">
        <f t="shared" si="3"/>
        <v>44012</v>
      </c>
      <c r="N2" s="543">
        <f t="shared" si="3"/>
        <v>44043</v>
      </c>
      <c r="O2" s="543">
        <f t="shared" si="3"/>
        <v>44074</v>
      </c>
      <c r="P2" s="543">
        <f t="shared" si="3"/>
        <v>44104</v>
      </c>
      <c r="Q2" s="543">
        <f t="shared" si="3"/>
        <v>44135</v>
      </c>
      <c r="R2" s="543">
        <f t="shared" si="3"/>
        <v>44165</v>
      </c>
      <c r="S2" s="543">
        <f t="shared" si="3"/>
        <v>44196</v>
      </c>
      <c r="T2" s="543">
        <f t="shared" si="3"/>
        <v>44227</v>
      </c>
      <c r="U2" s="543">
        <f t="shared" si="3"/>
        <v>44255</v>
      </c>
      <c r="V2" s="543">
        <f t="shared" si="3"/>
        <v>44286</v>
      </c>
      <c r="W2" s="543">
        <f t="shared" si="3"/>
        <v>44316</v>
      </c>
      <c r="X2" s="543">
        <f t="shared" si="3"/>
        <v>44347</v>
      </c>
      <c r="Y2" s="543">
        <f t="shared" si="3"/>
        <v>44377</v>
      </c>
      <c r="Z2" s="543">
        <f t="shared" si="3"/>
        <v>44408</v>
      </c>
      <c r="AA2" s="543">
        <f t="shared" si="3"/>
        <v>44439</v>
      </c>
      <c r="AB2" s="543">
        <f t="shared" si="3"/>
        <v>44469</v>
      </c>
      <c r="AC2" s="543">
        <f t="shared" si="3"/>
        <v>44500</v>
      </c>
      <c r="AD2" s="543">
        <f t="shared" si="3"/>
        <v>44530</v>
      </c>
      <c r="AE2" s="543">
        <f t="shared" si="3"/>
        <v>44561</v>
      </c>
      <c r="AF2" s="543">
        <f t="shared" si="3"/>
        <v>44592</v>
      </c>
      <c r="AG2" s="543">
        <f t="shared" si="3"/>
        <v>44620</v>
      </c>
      <c r="AH2" s="543">
        <f t="shared" si="3"/>
        <v>44651</v>
      </c>
      <c r="AI2" s="543">
        <f t="shared" si="3"/>
        <v>44681</v>
      </c>
      <c r="AJ2" s="543">
        <f t="shared" si="3"/>
        <v>44712</v>
      </c>
      <c r="AK2" s="543">
        <f t="shared" si="3"/>
        <v>44742</v>
      </c>
      <c r="AL2" s="543">
        <f t="shared" si="3"/>
        <v>44773</v>
      </c>
      <c r="AM2" s="543">
        <f t="shared" ref="AM2:BK2" si="4">AM1</f>
        <v>44804</v>
      </c>
      <c r="AN2" s="543">
        <f t="shared" si="4"/>
        <v>44834</v>
      </c>
      <c r="AO2" s="543">
        <f t="shared" si="4"/>
        <v>44865</v>
      </c>
      <c r="AP2" s="543">
        <f t="shared" si="4"/>
        <v>44895</v>
      </c>
      <c r="AQ2" s="543">
        <f t="shared" si="4"/>
        <v>44926</v>
      </c>
      <c r="AR2" s="543">
        <f t="shared" si="4"/>
        <v>44957</v>
      </c>
      <c r="AS2" s="543">
        <f t="shared" si="4"/>
        <v>44985</v>
      </c>
      <c r="AT2" s="543">
        <f t="shared" si="4"/>
        <v>45016</v>
      </c>
      <c r="AU2" s="543">
        <f t="shared" si="4"/>
        <v>45046</v>
      </c>
      <c r="AV2" s="543">
        <f t="shared" si="4"/>
        <v>45077</v>
      </c>
      <c r="AW2" s="543">
        <f t="shared" si="4"/>
        <v>45107</v>
      </c>
      <c r="AX2" s="543">
        <f t="shared" si="4"/>
        <v>45138</v>
      </c>
      <c r="AY2" s="543">
        <f t="shared" si="4"/>
        <v>45169</v>
      </c>
      <c r="AZ2" s="543">
        <f t="shared" si="4"/>
        <v>45199</v>
      </c>
      <c r="BA2" s="543">
        <f t="shared" si="4"/>
        <v>45230</v>
      </c>
      <c r="BB2" s="543">
        <f t="shared" si="4"/>
        <v>45260</v>
      </c>
      <c r="BC2" s="543">
        <f t="shared" si="4"/>
        <v>45291</v>
      </c>
      <c r="BD2" s="543">
        <f t="shared" si="4"/>
        <v>45322</v>
      </c>
      <c r="BE2" s="543">
        <f t="shared" si="4"/>
        <v>45351</v>
      </c>
      <c r="BF2" s="543">
        <f t="shared" si="4"/>
        <v>45382</v>
      </c>
      <c r="BG2" s="543">
        <f t="shared" si="4"/>
        <v>45412</v>
      </c>
      <c r="BH2" s="543">
        <f t="shared" si="4"/>
        <v>45443</v>
      </c>
      <c r="BI2" s="543">
        <f t="shared" si="4"/>
        <v>45473</v>
      </c>
      <c r="BJ2" s="543">
        <f t="shared" si="4"/>
        <v>45504</v>
      </c>
      <c r="BK2" s="543">
        <f t="shared" si="4"/>
        <v>45535</v>
      </c>
    </row>
    <row r="3" spans="1:63" s="464" customFormat="1" ht="14.25">
      <c r="A3" s="559" t="s">
        <v>434</v>
      </c>
      <c r="B3" s="560">
        <v>0.8519480519480519</v>
      </c>
      <c r="C3" s="560">
        <v>0.76034482758620692</v>
      </c>
      <c r="D3" s="560">
        <v>0.8649825783972126</v>
      </c>
      <c r="E3" s="560">
        <v>0.66202090592334495</v>
      </c>
      <c r="F3" s="560">
        <v>0.7181973759269823</v>
      </c>
      <c r="G3" s="560">
        <v>0.58731537793223287</v>
      </c>
      <c r="H3" s="560">
        <v>0.59050683829444894</v>
      </c>
      <c r="I3" s="560">
        <f>Delinquencies!D10</f>
        <v>0.81950040290088633</v>
      </c>
      <c r="J3" s="560"/>
      <c r="K3" s="560"/>
      <c r="L3" s="560"/>
      <c r="M3" s="560"/>
      <c r="N3" s="560"/>
      <c r="O3" s="560"/>
      <c r="P3" s="560"/>
      <c r="Q3" s="560"/>
      <c r="R3" s="560"/>
      <c r="S3" s="560"/>
      <c r="T3" s="560"/>
      <c r="U3" s="560"/>
      <c r="V3" s="560"/>
      <c r="W3" s="560"/>
      <c r="X3" s="560"/>
      <c r="Y3" s="677"/>
      <c r="Z3" s="677"/>
      <c r="AA3" s="677"/>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row>
    <row r="4" spans="1:63" s="464" customFormat="1" ht="14.25">
      <c r="A4" s="562" t="s">
        <v>435</v>
      </c>
      <c r="B4" s="560">
        <v>0.14805194805194805</v>
      </c>
      <c r="C4" s="563">
        <v>0.19741379310344828</v>
      </c>
      <c r="D4" s="563">
        <v>6.968641114982578E-2</v>
      </c>
      <c r="E4" s="563">
        <v>0.20296167247386759</v>
      </c>
      <c r="F4" s="563">
        <v>0.16942384483742157</v>
      </c>
      <c r="G4" s="563">
        <v>0.22502172024326672</v>
      </c>
      <c r="H4" s="563">
        <v>0.18825422365245373</v>
      </c>
      <c r="I4" s="563">
        <f>Delinquencies!D11</f>
        <v>9.6427612140746716E-2</v>
      </c>
      <c r="J4" s="563"/>
      <c r="K4" s="563"/>
      <c r="L4" s="563"/>
      <c r="M4" s="563"/>
      <c r="N4" s="563"/>
      <c r="O4" s="563"/>
      <c r="P4" s="563"/>
      <c r="Q4" s="563"/>
      <c r="R4" s="563"/>
      <c r="S4" s="563"/>
      <c r="T4" s="563"/>
      <c r="U4" s="563"/>
      <c r="V4" s="563"/>
      <c r="W4" s="563"/>
      <c r="X4" s="563"/>
      <c r="Y4" s="563"/>
      <c r="Z4" s="563"/>
      <c r="AA4" s="563"/>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c r="BC4" s="564"/>
      <c r="BD4" s="564"/>
      <c r="BE4" s="564"/>
      <c r="BF4" s="564"/>
      <c r="BG4" s="564"/>
      <c r="BH4" s="564"/>
      <c r="BI4" s="564"/>
      <c r="BJ4" s="564"/>
      <c r="BK4" s="564"/>
    </row>
    <row r="5" spans="1:63" s="464" customFormat="1" ht="14.25">
      <c r="A5" s="562" t="s">
        <v>436</v>
      </c>
      <c r="B5" s="560">
        <v>0</v>
      </c>
      <c r="C5" s="563">
        <v>4.2241379310344829E-2</v>
      </c>
      <c r="D5" s="563">
        <v>4.0069686411149823E-2</v>
      </c>
      <c r="E5" s="563">
        <v>6.968641114982578E-2</v>
      </c>
      <c r="F5" s="563">
        <v>5.4192812321734167E-2</v>
      </c>
      <c r="G5" s="563">
        <v>7.9061685490877498E-2</v>
      </c>
      <c r="H5" s="563">
        <v>8.9300080450522928E-2</v>
      </c>
      <c r="I5" s="563">
        <f>Delinquencies!D12</f>
        <v>3.0083266183185603E-2</v>
      </c>
      <c r="J5" s="563"/>
      <c r="K5" s="563"/>
      <c r="L5" s="563"/>
      <c r="M5" s="563"/>
      <c r="N5" s="563"/>
      <c r="O5" s="563"/>
      <c r="P5" s="563"/>
      <c r="Q5" s="563"/>
      <c r="R5" s="563"/>
      <c r="S5" s="563"/>
      <c r="T5" s="563"/>
      <c r="U5" s="563"/>
      <c r="V5" s="563"/>
      <c r="W5" s="563"/>
      <c r="X5" s="563"/>
      <c r="Y5" s="563"/>
      <c r="Z5" s="563"/>
      <c r="AA5" s="563"/>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c r="BE5" s="564"/>
      <c r="BF5" s="564"/>
      <c r="BG5" s="564"/>
      <c r="BH5" s="564"/>
      <c r="BI5" s="564"/>
      <c r="BJ5" s="564"/>
      <c r="BK5" s="564"/>
    </row>
    <row r="6" spans="1:63" s="464" customFormat="1" ht="14.25">
      <c r="A6" s="562" t="s">
        <v>437</v>
      </c>
      <c r="B6" s="560">
        <v>0</v>
      </c>
      <c r="C6" s="563">
        <v>0</v>
      </c>
      <c r="D6" s="563">
        <v>2.5261324041811847E-2</v>
      </c>
      <c r="E6" s="563">
        <v>4.0069686411149823E-2</v>
      </c>
      <c r="F6" s="563">
        <v>2.9663434112949229E-2</v>
      </c>
      <c r="G6" s="563">
        <v>3.3014769765421371E-2</v>
      </c>
      <c r="H6" s="563">
        <v>4.0225261464199517E-2</v>
      </c>
      <c r="I6" s="563">
        <f>Delinquencies!D13</f>
        <v>1.6384636046199302E-2</v>
      </c>
      <c r="J6" s="563"/>
      <c r="K6" s="563"/>
      <c r="L6" s="563"/>
      <c r="M6" s="563"/>
      <c r="N6" s="563"/>
      <c r="O6" s="563"/>
      <c r="P6" s="563"/>
      <c r="Q6" s="563"/>
      <c r="R6" s="563"/>
      <c r="S6" s="563"/>
      <c r="T6" s="563"/>
      <c r="U6" s="563"/>
      <c r="V6" s="563"/>
      <c r="W6" s="563"/>
      <c r="X6" s="563"/>
      <c r="Y6" s="563"/>
      <c r="Z6" s="563"/>
      <c r="AA6" s="563"/>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row>
    <row r="7" spans="1:63" s="464" customFormat="1" ht="14.25">
      <c r="A7" s="562" t="s">
        <v>438</v>
      </c>
      <c r="B7" s="560">
        <v>0</v>
      </c>
      <c r="C7" s="563">
        <v>0</v>
      </c>
      <c r="D7" s="563">
        <v>0</v>
      </c>
      <c r="E7" s="563">
        <v>2.5261324041811847E-2</v>
      </c>
      <c r="F7" s="563">
        <v>1.5972618368511125E-2</v>
      </c>
      <c r="G7" s="563">
        <v>3.6490008688097306E-2</v>
      </c>
      <c r="H7" s="563">
        <v>2.8157683024939661E-2</v>
      </c>
      <c r="I7" s="563">
        <f>Delinquencies!D14</f>
        <v>1.1012624227773301E-2</v>
      </c>
      <c r="J7" s="563"/>
      <c r="K7" s="563"/>
      <c r="L7" s="563"/>
      <c r="M7" s="563"/>
      <c r="N7" s="563"/>
      <c r="O7" s="563"/>
      <c r="P7" s="563"/>
      <c r="Q7" s="563"/>
      <c r="R7" s="563"/>
      <c r="S7" s="563"/>
      <c r="T7" s="563"/>
      <c r="U7" s="563"/>
      <c r="V7" s="563"/>
      <c r="W7" s="563"/>
      <c r="X7" s="563"/>
      <c r="Y7" s="563"/>
      <c r="Z7" s="563"/>
      <c r="AA7" s="563"/>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row>
    <row r="8" spans="1:63" s="464" customFormat="1" ht="14.25">
      <c r="A8" s="562" t="s">
        <v>439</v>
      </c>
      <c r="B8" s="560">
        <v>0</v>
      </c>
      <c r="C8" s="563">
        <v>0</v>
      </c>
      <c r="D8" s="563">
        <v>0</v>
      </c>
      <c r="E8" s="563">
        <v>0</v>
      </c>
      <c r="F8" s="563">
        <v>1.2549914432401598E-2</v>
      </c>
      <c r="G8" s="563">
        <v>2.0851433536055605E-2</v>
      </c>
      <c r="H8" s="563">
        <v>2.7353177795655673E-2</v>
      </c>
      <c r="I8" s="563">
        <f>Delinquencies!D15</f>
        <v>6.7150147730325009E-3</v>
      </c>
      <c r="J8" s="563"/>
      <c r="K8" s="563"/>
      <c r="L8" s="563"/>
      <c r="M8" s="563"/>
      <c r="N8" s="563"/>
      <c r="O8" s="563"/>
      <c r="P8" s="563"/>
      <c r="Q8" s="563"/>
      <c r="R8" s="563"/>
      <c r="S8" s="563"/>
      <c r="T8" s="563"/>
      <c r="U8" s="563"/>
      <c r="V8" s="563"/>
      <c r="W8" s="563"/>
      <c r="X8" s="563"/>
      <c r="Y8" s="563"/>
      <c r="Z8" s="563"/>
      <c r="AA8" s="563"/>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row>
    <row r="9" spans="1:63" s="464" customFormat="1" ht="14.25">
      <c r="A9" s="562" t="s">
        <v>440</v>
      </c>
      <c r="B9" s="560">
        <v>0</v>
      </c>
      <c r="C9" s="563">
        <v>0</v>
      </c>
      <c r="D9" s="563">
        <v>0</v>
      </c>
      <c r="E9" s="563">
        <v>0</v>
      </c>
      <c r="F9" s="563">
        <v>0</v>
      </c>
      <c r="G9" s="563">
        <v>1.8245004344048653E-2</v>
      </c>
      <c r="H9" s="563">
        <v>1.7699115044247787E-2</v>
      </c>
      <c r="I9" s="563">
        <f>Delinquencies!D16</f>
        <v>8.8638195004029016E-3</v>
      </c>
      <c r="J9" s="563"/>
      <c r="K9" s="563"/>
      <c r="L9" s="563"/>
      <c r="M9" s="563"/>
      <c r="N9" s="563"/>
      <c r="O9" s="563"/>
      <c r="P9" s="563"/>
      <c r="Q9" s="563"/>
      <c r="R9" s="563"/>
      <c r="S9" s="563"/>
      <c r="T9" s="563"/>
      <c r="U9" s="563"/>
      <c r="V9" s="563"/>
      <c r="W9" s="563"/>
      <c r="X9" s="563"/>
      <c r="Y9" s="563"/>
      <c r="Z9" s="563"/>
      <c r="AA9" s="563"/>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c r="BI9" s="564"/>
      <c r="BJ9" s="564"/>
      <c r="BK9" s="564"/>
    </row>
    <row r="10" spans="1:63" s="464" customFormat="1" ht="14.25">
      <c r="A10" s="562" t="s">
        <v>441</v>
      </c>
      <c r="B10" s="560">
        <v>0</v>
      </c>
      <c r="C10" s="563">
        <v>0</v>
      </c>
      <c r="D10" s="563">
        <v>0</v>
      </c>
      <c r="E10" s="563">
        <v>0</v>
      </c>
      <c r="F10" s="563">
        <v>0</v>
      </c>
      <c r="G10" s="563">
        <v>0</v>
      </c>
      <c r="H10" s="563">
        <v>1.8503620273531779E-2</v>
      </c>
      <c r="I10" s="563">
        <f>Delinquencies!D17</f>
        <v>1.1012624227773301E-2</v>
      </c>
      <c r="J10" s="563"/>
      <c r="K10" s="563"/>
      <c r="L10" s="563"/>
      <c r="M10" s="563"/>
      <c r="N10" s="563"/>
      <c r="O10" s="563"/>
      <c r="P10" s="563"/>
      <c r="Q10" s="563"/>
      <c r="R10" s="563"/>
      <c r="S10" s="563"/>
      <c r="T10" s="563"/>
      <c r="U10" s="563"/>
      <c r="V10" s="563"/>
      <c r="W10" s="563"/>
      <c r="X10" s="563"/>
      <c r="Y10" s="563"/>
      <c r="Z10" s="563"/>
      <c r="AA10" s="563"/>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row>
    <row r="11" spans="1:63" s="464" customFormat="1" ht="14.25">
      <c r="A11" s="562" t="s">
        <v>442</v>
      </c>
      <c r="B11" s="560">
        <v>0</v>
      </c>
      <c r="C11" s="563">
        <v>0</v>
      </c>
      <c r="D11" s="563">
        <v>0</v>
      </c>
      <c r="E11" s="563">
        <v>0</v>
      </c>
      <c r="F11" s="563">
        <v>0</v>
      </c>
      <c r="G11" s="563">
        <v>0</v>
      </c>
      <c r="H11" s="563">
        <v>0</v>
      </c>
      <c r="I11" s="563">
        <f>Delinquencies!D18</f>
        <v>0</v>
      </c>
      <c r="J11" s="563"/>
      <c r="K11" s="563"/>
      <c r="L11" s="563"/>
      <c r="M11" s="563"/>
      <c r="N11" s="563"/>
      <c r="O11" s="563"/>
      <c r="P11" s="563"/>
      <c r="Q11" s="563"/>
      <c r="R11" s="563"/>
      <c r="S11" s="563"/>
      <c r="T11" s="563"/>
      <c r="U11" s="563"/>
      <c r="V11" s="563"/>
      <c r="W11" s="563"/>
      <c r="X11" s="563"/>
      <c r="Y11" s="563"/>
      <c r="Z11" s="563"/>
      <c r="AA11" s="563"/>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row>
    <row r="12" spans="1:63" s="464" customFormat="1" ht="14.25">
      <c r="A12" s="562" t="s">
        <v>443</v>
      </c>
      <c r="B12" s="560">
        <v>0</v>
      </c>
      <c r="C12" s="565">
        <v>0</v>
      </c>
      <c r="D12" s="565">
        <v>0</v>
      </c>
      <c r="E12" s="565">
        <v>0</v>
      </c>
      <c r="F12" s="565">
        <v>0</v>
      </c>
      <c r="G12" s="565">
        <v>0</v>
      </c>
      <c r="H12" s="565">
        <v>0</v>
      </c>
      <c r="I12" s="565">
        <f>Delinquencies!D19</f>
        <v>0</v>
      </c>
      <c r="J12" s="565"/>
      <c r="K12" s="565"/>
      <c r="L12" s="565"/>
      <c r="M12" s="565"/>
      <c r="N12" s="565"/>
      <c r="O12" s="565"/>
      <c r="P12" s="565"/>
      <c r="Q12" s="565"/>
      <c r="R12" s="565"/>
      <c r="S12" s="565"/>
      <c r="T12" s="565"/>
      <c r="U12" s="565"/>
      <c r="V12" s="565"/>
      <c r="W12" s="565"/>
      <c r="X12" s="565"/>
      <c r="Y12" s="563"/>
      <c r="Z12" s="563"/>
      <c r="AA12" s="563"/>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row>
    <row r="13" spans="1:63" s="464" customFormat="1" ht="14.25">
      <c r="A13" s="567" t="s">
        <v>42</v>
      </c>
      <c r="B13" s="566">
        <f t="shared" ref="B13:AL13" si="5">SUM(B3:B12)</f>
        <v>1</v>
      </c>
      <c r="C13" s="566">
        <f t="shared" si="5"/>
        <v>1</v>
      </c>
      <c r="D13" s="566">
        <f t="shared" si="5"/>
        <v>1</v>
      </c>
      <c r="E13" s="566">
        <f t="shared" si="5"/>
        <v>0.99999999999999989</v>
      </c>
      <c r="F13" s="566">
        <f t="shared" si="5"/>
        <v>1</v>
      </c>
      <c r="G13" s="566">
        <f t="shared" si="5"/>
        <v>0.99999999999999989</v>
      </c>
      <c r="H13" s="566">
        <f t="shared" si="5"/>
        <v>1</v>
      </c>
      <c r="I13" s="566">
        <f t="shared" si="5"/>
        <v>0.99999999999999989</v>
      </c>
      <c r="J13" s="566">
        <f t="shared" si="5"/>
        <v>0</v>
      </c>
      <c r="K13" s="566">
        <f t="shared" si="5"/>
        <v>0</v>
      </c>
      <c r="L13" s="566">
        <v>1</v>
      </c>
      <c r="M13" s="566">
        <v>1.0000000000000002</v>
      </c>
      <c r="N13" s="566">
        <v>1</v>
      </c>
      <c r="O13" s="566">
        <v>1.0000000000000002</v>
      </c>
      <c r="P13" s="566">
        <f t="shared" ref="P13" si="6">SUM(P3:P12)</f>
        <v>0</v>
      </c>
      <c r="Q13" s="566">
        <f t="shared" si="5"/>
        <v>0</v>
      </c>
      <c r="R13" s="566">
        <f t="shared" ref="R13" si="7">SUM(R3:R12)</f>
        <v>0</v>
      </c>
      <c r="S13" s="566">
        <f t="shared" si="5"/>
        <v>0</v>
      </c>
      <c r="T13" s="566">
        <f t="shared" ref="T13" si="8">SUM(T3:T12)</f>
        <v>0</v>
      </c>
      <c r="U13" s="566">
        <f t="shared" si="5"/>
        <v>0</v>
      </c>
      <c r="V13" s="566">
        <f t="shared" si="5"/>
        <v>0</v>
      </c>
      <c r="W13" s="566">
        <f t="shared" si="5"/>
        <v>0</v>
      </c>
      <c r="X13" s="566">
        <f t="shared" ref="X13" si="9">SUM(X3:X12)</f>
        <v>0</v>
      </c>
      <c r="Y13" s="566">
        <f t="shared" si="5"/>
        <v>0</v>
      </c>
      <c r="Z13" s="566">
        <f t="shared" si="5"/>
        <v>0</v>
      </c>
      <c r="AA13" s="566">
        <f t="shared" si="5"/>
        <v>0</v>
      </c>
      <c r="AB13" s="566">
        <f t="shared" si="5"/>
        <v>0</v>
      </c>
      <c r="AC13" s="566">
        <f t="shared" si="5"/>
        <v>0</v>
      </c>
      <c r="AD13" s="566">
        <f t="shared" si="5"/>
        <v>0</v>
      </c>
      <c r="AE13" s="566">
        <f t="shared" si="5"/>
        <v>0</v>
      </c>
      <c r="AF13" s="566">
        <f t="shared" si="5"/>
        <v>0</v>
      </c>
      <c r="AG13" s="566">
        <f t="shared" si="5"/>
        <v>0</v>
      </c>
      <c r="AH13" s="566">
        <f t="shared" si="5"/>
        <v>0</v>
      </c>
      <c r="AI13" s="566">
        <f t="shared" si="5"/>
        <v>0</v>
      </c>
      <c r="AJ13" s="566">
        <f t="shared" si="5"/>
        <v>0</v>
      </c>
      <c r="AK13" s="566">
        <f t="shared" si="5"/>
        <v>0</v>
      </c>
      <c r="AL13" s="566">
        <f t="shared" si="5"/>
        <v>0</v>
      </c>
      <c r="AM13" s="566">
        <f t="shared" ref="AM13:BK13" si="10">SUM(AM3:AM12)</f>
        <v>0</v>
      </c>
      <c r="AN13" s="566">
        <f t="shared" si="10"/>
        <v>0</v>
      </c>
      <c r="AO13" s="566">
        <f t="shared" si="10"/>
        <v>0</v>
      </c>
      <c r="AP13" s="566">
        <f t="shared" si="10"/>
        <v>0</v>
      </c>
      <c r="AQ13" s="566">
        <f t="shared" si="10"/>
        <v>0</v>
      </c>
      <c r="AR13" s="566">
        <f t="shared" si="10"/>
        <v>0</v>
      </c>
      <c r="AS13" s="566">
        <f t="shared" si="10"/>
        <v>0</v>
      </c>
      <c r="AT13" s="566">
        <f t="shared" si="10"/>
        <v>0</v>
      </c>
      <c r="AU13" s="566">
        <f t="shared" si="10"/>
        <v>0</v>
      </c>
      <c r="AV13" s="566">
        <f t="shared" si="10"/>
        <v>0</v>
      </c>
      <c r="AW13" s="566">
        <f t="shared" si="10"/>
        <v>0</v>
      </c>
      <c r="AX13" s="566">
        <f t="shared" si="10"/>
        <v>0</v>
      </c>
      <c r="AY13" s="566">
        <f t="shared" si="10"/>
        <v>0</v>
      </c>
      <c r="AZ13" s="566">
        <f t="shared" si="10"/>
        <v>0</v>
      </c>
      <c r="BA13" s="566">
        <f t="shared" si="10"/>
        <v>0</v>
      </c>
      <c r="BB13" s="566">
        <f t="shared" si="10"/>
        <v>0</v>
      </c>
      <c r="BC13" s="566">
        <f t="shared" si="10"/>
        <v>0</v>
      </c>
      <c r="BD13" s="566">
        <f t="shared" si="10"/>
        <v>0</v>
      </c>
      <c r="BE13" s="566">
        <f t="shared" si="10"/>
        <v>0</v>
      </c>
      <c r="BF13" s="566">
        <f t="shared" si="10"/>
        <v>0</v>
      </c>
      <c r="BG13" s="566">
        <f t="shared" si="10"/>
        <v>0</v>
      </c>
      <c r="BH13" s="566">
        <f t="shared" si="10"/>
        <v>0</v>
      </c>
      <c r="BI13" s="566">
        <f t="shared" si="10"/>
        <v>0</v>
      </c>
      <c r="BJ13" s="566">
        <f t="shared" si="10"/>
        <v>0</v>
      </c>
      <c r="BK13" s="566">
        <f t="shared" si="10"/>
        <v>0</v>
      </c>
    </row>
    <row r="15" spans="1:63" s="541" customFormat="1">
      <c r="A15" s="545" t="s">
        <v>423</v>
      </c>
      <c r="B15" s="540">
        <v>43677</v>
      </c>
      <c r="C15" s="540">
        <f t="shared" ref="C15:AA15" si="11">+EOMONTH(B15,1)</f>
        <v>43708</v>
      </c>
      <c r="D15" s="540">
        <f t="shared" si="11"/>
        <v>43738</v>
      </c>
      <c r="E15" s="540">
        <f t="shared" si="11"/>
        <v>43769</v>
      </c>
      <c r="F15" s="540">
        <f t="shared" si="11"/>
        <v>43799</v>
      </c>
      <c r="G15" s="540">
        <f t="shared" si="11"/>
        <v>43830</v>
      </c>
      <c r="H15" s="540">
        <f t="shared" si="11"/>
        <v>43861</v>
      </c>
      <c r="I15" s="540">
        <f t="shared" si="11"/>
        <v>43890</v>
      </c>
      <c r="J15" s="540">
        <f t="shared" si="11"/>
        <v>43921</v>
      </c>
      <c r="K15" s="540">
        <f t="shared" si="11"/>
        <v>43951</v>
      </c>
      <c r="L15" s="540">
        <f t="shared" si="11"/>
        <v>43982</v>
      </c>
      <c r="M15" s="540">
        <f t="shared" si="11"/>
        <v>44012</v>
      </c>
      <c r="N15" s="540">
        <f t="shared" si="11"/>
        <v>44043</v>
      </c>
      <c r="O15" s="540">
        <f t="shared" si="11"/>
        <v>44074</v>
      </c>
      <c r="P15" s="540">
        <f t="shared" si="11"/>
        <v>44104</v>
      </c>
      <c r="Q15" s="540">
        <f t="shared" si="11"/>
        <v>44135</v>
      </c>
      <c r="R15" s="540">
        <f t="shared" si="11"/>
        <v>44165</v>
      </c>
      <c r="S15" s="540">
        <f t="shared" si="11"/>
        <v>44196</v>
      </c>
      <c r="T15" s="540">
        <f t="shared" si="11"/>
        <v>44227</v>
      </c>
      <c r="U15" s="540">
        <f t="shared" si="11"/>
        <v>44255</v>
      </c>
      <c r="V15" s="540">
        <f t="shared" si="11"/>
        <v>44286</v>
      </c>
      <c r="W15" s="540">
        <f t="shared" si="11"/>
        <v>44316</v>
      </c>
      <c r="X15" s="540">
        <f t="shared" si="11"/>
        <v>44347</v>
      </c>
      <c r="Y15" s="540">
        <f t="shared" si="11"/>
        <v>44377</v>
      </c>
      <c r="Z15" s="540">
        <f t="shared" si="11"/>
        <v>44408</v>
      </c>
      <c r="AA15" s="540">
        <f t="shared" si="11"/>
        <v>44439</v>
      </c>
      <c r="AB15" s="540">
        <f t="shared" ref="AB15:AL15" si="12">+EOMONTH(AA15,1)</f>
        <v>44469</v>
      </c>
      <c r="AC15" s="540">
        <f t="shared" si="12"/>
        <v>44500</v>
      </c>
      <c r="AD15" s="540">
        <f t="shared" si="12"/>
        <v>44530</v>
      </c>
      <c r="AE15" s="540">
        <f t="shared" si="12"/>
        <v>44561</v>
      </c>
      <c r="AF15" s="540">
        <f t="shared" si="12"/>
        <v>44592</v>
      </c>
      <c r="AG15" s="540">
        <f t="shared" si="12"/>
        <v>44620</v>
      </c>
      <c r="AH15" s="540">
        <f t="shared" si="12"/>
        <v>44651</v>
      </c>
      <c r="AI15" s="540">
        <f t="shared" si="12"/>
        <v>44681</v>
      </c>
      <c r="AJ15" s="540">
        <f t="shared" si="12"/>
        <v>44712</v>
      </c>
      <c r="AK15" s="540">
        <f t="shared" si="12"/>
        <v>44742</v>
      </c>
      <c r="AL15" s="540">
        <f t="shared" si="12"/>
        <v>44773</v>
      </c>
      <c r="AM15" s="540">
        <f t="shared" ref="AM15" si="13">+EOMONTH(AL15,1)</f>
        <v>44804</v>
      </c>
      <c r="AN15" s="540">
        <f t="shared" ref="AN15" si="14">+EOMONTH(AM15,1)</f>
        <v>44834</v>
      </c>
      <c r="AO15" s="540">
        <f t="shared" ref="AO15" si="15">+EOMONTH(AN15,1)</f>
        <v>44865</v>
      </c>
      <c r="AP15" s="540">
        <f t="shared" ref="AP15" si="16">+EOMONTH(AO15,1)</f>
        <v>44895</v>
      </c>
      <c r="AQ15" s="540">
        <f t="shared" ref="AQ15" si="17">+EOMONTH(AP15,1)</f>
        <v>44926</v>
      </c>
      <c r="AR15" s="540">
        <f t="shared" ref="AR15" si="18">+EOMONTH(AQ15,1)</f>
        <v>44957</v>
      </c>
      <c r="AS15" s="540">
        <f t="shared" ref="AS15" si="19">+EOMONTH(AR15,1)</f>
        <v>44985</v>
      </c>
      <c r="AT15" s="540">
        <f t="shared" ref="AT15" si="20">+EOMONTH(AS15,1)</f>
        <v>45016</v>
      </c>
      <c r="AU15" s="540">
        <f t="shared" ref="AU15" si="21">+EOMONTH(AT15,1)</f>
        <v>45046</v>
      </c>
      <c r="AV15" s="540">
        <f t="shared" ref="AV15" si="22">+EOMONTH(AU15,1)</f>
        <v>45077</v>
      </c>
      <c r="AW15" s="540">
        <f t="shared" ref="AW15" si="23">+EOMONTH(AV15,1)</f>
        <v>45107</v>
      </c>
      <c r="AX15" s="540">
        <f t="shared" ref="AX15" si="24">+EOMONTH(AW15,1)</f>
        <v>45138</v>
      </c>
      <c r="AY15" s="540">
        <f t="shared" ref="AY15" si="25">+EOMONTH(AX15,1)</f>
        <v>45169</v>
      </c>
      <c r="AZ15" s="540">
        <f t="shared" ref="AZ15" si="26">+EOMONTH(AY15,1)</f>
        <v>45199</v>
      </c>
      <c r="BA15" s="540">
        <f t="shared" ref="BA15" si="27">+EOMONTH(AZ15,1)</f>
        <v>45230</v>
      </c>
      <c r="BB15" s="540">
        <f t="shared" ref="BB15" si="28">+EOMONTH(BA15,1)</f>
        <v>45260</v>
      </c>
      <c r="BC15" s="540">
        <f t="shared" ref="BC15" si="29">+EOMONTH(BB15,1)</f>
        <v>45291</v>
      </c>
      <c r="BD15" s="540">
        <f t="shared" ref="BD15" si="30">+EOMONTH(BC15,1)</f>
        <v>45322</v>
      </c>
      <c r="BE15" s="540">
        <f t="shared" ref="BE15" si="31">+EOMONTH(BD15,1)</f>
        <v>45351</v>
      </c>
      <c r="BF15" s="540">
        <f t="shared" ref="BF15" si="32">+EOMONTH(BE15,1)</f>
        <v>45382</v>
      </c>
      <c r="BG15" s="540">
        <f t="shared" ref="BG15" si="33">+EOMONTH(BF15,1)</f>
        <v>45412</v>
      </c>
      <c r="BH15" s="540">
        <f t="shared" ref="BH15" si="34">+EOMONTH(BG15,1)</f>
        <v>45443</v>
      </c>
      <c r="BI15" s="540">
        <f t="shared" ref="BI15" si="35">+EOMONTH(BH15,1)</f>
        <v>45473</v>
      </c>
      <c r="BJ15" s="540">
        <f t="shared" ref="BJ15" si="36">+EOMONTH(BI15,1)</f>
        <v>45504</v>
      </c>
      <c r="BK15" s="540">
        <f t="shared" ref="BK15" si="37">+EOMONTH(BJ15,1)</f>
        <v>45535</v>
      </c>
    </row>
    <row r="16" spans="1:63">
      <c r="A16" s="542"/>
      <c r="B16" s="543">
        <f>B15</f>
        <v>43677</v>
      </c>
      <c r="C16" s="543">
        <f t="shared" ref="C16:T16" si="38">C15</f>
        <v>43708</v>
      </c>
      <c r="D16" s="543">
        <f t="shared" si="38"/>
        <v>43738</v>
      </c>
      <c r="E16" s="543">
        <f t="shared" si="38"/>
        <v>43769</v>
      </c>
      <c r="F16" s="543">
        <f t="shared" si="38"/>
        <v>43799</v>
      </c>
      <c r="G16" s="543">
        <f t="shared" si="38"/>
        <v>43830</v>
      </c>
      <c r="H16" s="543">
        <f>H15</f>
        <v>43861</v>
      </c>
      <c r="I16" s="543">
        <f t="shared" si="38"/>
        <v>43890</v>
      </c>
      <c r="J16" s="543">
        <f t="shared" si="38"/>
        <v>43921</v>
      </c>
      <c r="K16" s="543">
        <f t="shared" si="38"/>
        <v>43951</v>
      </c>
      <c r="L16" s="543">
        <f t="shared" si="38"/>
        <v>43982</v>
      </c>
      <c r="M16" s="543">
        <f t="shared" si="38"/>
        <v>44012</v>
      </c>
      <c r="N16" s="543">
        <f t="shared" si="38"/>
        <v>44043</v>
      </c>
      <c r="O16" s="543">
        <f t="shared" si="38"/>
        <v>44074</v>
      </c>
      <c r="P16" s="543">
        <f t="shared" si="38"/>
        <v>44104</v>
      </c>
      <c r="Q16" s="543">
        <f t="shared" si="38"/>
        <v>44135</v>
      </c>
      <c r="R16" s="543">
        <f t="shared" si="38"/>
        <v>44165</v>
      </c>
      <c r="S16" s="543">
        <f t="shared" si="38"/>
        <v>44196</v>
      </c>
      <c r="T16" s="543">
        <f t="shared" si="38"/>
        <v>44227</v>
      </c>
      <c r="U16" s="543">
        <f t="shared" ref="U16:Z16" si="39">U15</f>
        <v>44255</v>
      </c>
      <c r="V16" s="543">
        <f t="shared" si="39"/>
        <v>44286</v>
      </c>
      <c r="W16" s="543">
        <f t="shared" si="39"/>
        <v>44316</v>
      </c>
      <c r="X16" s="543">
        <f t="shared" si="39"/>
        <v>44347</v>
      </c>
      <c r="Y16" s="543">
        <f t="shared" si="39"/>
        <v>44377</v>
      </c>
      <c r="Z16" s="543">
        <f t="shared" si="39"/>
        <v>44408</v>
      </c>
      <c r="AA16" s="543">
        <f t="shared" ref="AA16:BK16" si="40">AA15</f>
        <v>44439</v>
      </c>
      <c r="AB16" s="543">
        <f t="shared" si="40"/>
        <v>44469</v>
      </c>
      <c r="AC16" s="543">
        <f t="shared" si="40"/>
        <v>44500</v>
      </c>
      <c r="AD16" s="543">
        <f t="shared" si="40"/>
        <v>44530</v>
      </c>
      <c r="AE16" s="543">
        <f t="shared" si="40"/>
        <v>44561</v>
      </c>
      <c r="AF16" s="543">
        <f t="shared" si="40"/>
        <v>44592</v>
      </c>
      <c r="AG16" s="543">
        <f t="shared" si="40"/>
        <v>44620</v>
      </c>
      <c r="AH16" s="543">
        <f t="shared" si="40"/>
        <v>44651</v>
      </c>
      <c r="AI16" s="543">
        <f t="shared" si="40"/>
        <v>44681</v>
      </c>
      <c r="AJ16" s="543">
        <f t="shared" si="40"/>
        <v>44712</v>
      </c>
      <c r="AK16" s="543">
        <f t="shared" si="40"/>
        <v>44742</v>
      </c>
      <c r="AL16" s="543">
        <f t="shared" si="40"/>
        <v>44773</v>
      </c>
      <c r="AM16" s="543">
        <f t="shared" si="40"/>
        <v>44804</v>
      </c>
      <c r="AN16" s="543">
        <f t="shared" si="40"/>
        <v>44834</v>
      </c>
      <c r="AO16" s="543">
        <f t="shared" si="40"/>
        <v>44865</v>
      </c>
      <c r="AP16" s="543">
        <f t="shared" si="40"/>
        <v>44895</v>
      </c>
      <c r="AQ16" s="543">
        <f t="shared" si="40"/>
        <v>44926</v>
      </c>
      <c r="AR16" s="543">
        <f t="shared" si="40"/>
        <v>44957</v>
      </c>
      <c r="AS16" s="543">
        <f t="shared" si="40"/>
        <v>44985</v>
      </c>
      <c r="AT16" s="543">
        <f t="shared" si="40"/>
        <v>45016</v>
      </c>
      <c r="AU16" s="543">
        <f t="shared" si="40"/>
        <v>45046</v>
      </c>
      <c r="AV16" s="543">
        <f t="shared" si="40"/>
        <v>45077</v>
      </c>
      <c r="AW16" s="543">
        <f t="shared" si="40"/>
        <v>45107</v>
      </c>
      <c r="AX16" s="543">
        <f t="shared" si="40"/>
        <v>45138</v>
      </c>
      <c r="AY16" s="543">
        <f t="shared" si="40"/>
        <v>45169</v>
      </c>
      <c r="AZ16" s="543">
        <f t="shared" si="40"/>
        <v>45199</v>
      </c>
      <c r="BA16" s="543">
        <f t="shared" si="40"/>
        <v>45230</v>
      </c>
      <c r="BB16" s="543">
        <f t="shared" si="40"/>
        <v>45260</v>
      </c>
      <c r="BC16" s="543">
        <f t="shared" si="40"/>
        <v>45291</v>
      </c>
      <c r="BD16" s="543">
        <f t="shared" si="40"/>
        <v>45322</v>
      </c>
      <c r="BE16" s="543">
        <f t="shared" si="40"/>
        <v>45351</v>
      </c>
      <c r="BF16" s="543">
        <f t="shared" si="40"/>
        <v>45382</v>
      </c>
      <c r="BG16" s="543">
        <f t="shared" si="40"/>
        <v>45412</v>
      </c>
      <c r="BH16" s="543">
        <f t="shared" si="40"/>
        <v>45443</v>
      </c>
      <c r="BI16" s="543">
        <f t="shared" si="40"/>
        <v>45473</v>
      </c>
      <c r="BJ16" s="543">
        <f t="shared" si="40"/>
        <v>45504</v>
      </c>
      <c r="BK16" s="543">
        <f t="shared" si="40"/>
        <v>45535</v>
      </c>
    </row>
    <row r="17" spans="1:63">
      <c r="A17" s="546" t="s">
        <v>424</v>
      </c>
      <c r="B17" s="649">
        <v>0</v>
      </c>
      <c r="C17" s="649">
        <v>0</v>
      </c>
      <c r="D17" s="649">
        <v>0</v>
      </c>
      <c r="E17" s="649">
        <v>0</v>
      </c>
      <c r="F17" s="649">
        <v>0</v>
      </c>
      <c r="G17" s="649">
        <v>0</v>
      </c>
      <c r="H17" s="649">
        <v>5.8364601659670052E-4</v>
      </c>
      <c r="I17" s="649">
        <f>'Transaction Events II'!F18</f>
        <v>1.0876212590012174E-3</v>
      </c>
      <c r="J17" s="649"/>
      <c r="K17" s="649"/>
      <c r="L17" s="649"/>
      <c r="M17" s="649"/>
      <c r="N17" s="649"/>
      <c r="O17" s="649"/>
      <c r="P17" s="649"/>
      <c r="Q17" s="649"/>
      <c r="R17" s="649"/>
      <c r="S17" s="649"/>
      <c r="T17" s="649"/>
      <c r="U17" s="649"/>
      <c r="V17" s="649"/>
      <c r="W17" s="649"/>
      <c r="X17" s="649"/>
      <c r="Y17" s="549"/>
      <c r="Z17" s="549"/>
      <c r="AA17" s="549"/>
      <c r="AB17" s="547"/>
      <c r="AC17" s="549"/>
      <c r="AD17" s="549"/>
      <c r="AE17" s="549"/>
      <c r="AF17" s="549"/>
      <c r="AG17" s="549"/>
      <c r="AH17" s="549"/>
      <c r="AI17" s="549"/>
      <c r="AJ17" s="547"/>
      <c r="AK17" s="547"/>
      <c r="AL17" s="547"/>
    </row>
    <row r="18" spans="1:63">
      <c r="A18" s="548" t="s">
        <v>425</v>
      </c>
      <c r="B18" s="549">
        <v>1.4999999999999999E-2</v>
      </c>
      <c r="C18" s="549">
        <v>1.4999999999999999E-2</v>
      </c>
      <c r="D18" s="549">
        <v>1.4999999999999999E-2</v>
      </c>
      <c r="E18" s="549">
        <v>1.4999999999999999E-2</v>
      </c>
      <c r="F18" s="549">
        <v>1.4999999999999999E-2</v>
      </c>
      <c r="G18" s="549">
        <v>1.4999999999999999E-2</v>
      </c>
      <c r="H18" s="549">
        <v>1.4999999999999999E-2</v>
      </c>
      <c r="I18" s="549">
        <v>1.4999999999999999E-2</v>
      </c>
      <c r="J18" s="549">
        <v>1.4999999999999999E-2</v>
      </c>
      <c r="K18" s="549">
        <v>1.4999999999999999E-2</v>
      </c>
      <c r="L18" s="549">
        <v>1.4999999999999999E-2</v>
      </c>
      <c r="M18" s="549">
        <v>1.4999999999999999E-2</v>
      </c>
      <c r="N18" s="549">
        <v>1.4999999999999999E-2</v>
      </c>
      <c r="O18" s="549">
        <v>3.5000000000000003E-2</v>
      </c>
      <c r="P18" s="549">
        <v>3.5000000000000003E-2</v>
      </c>
      <c r="Q18" s="549">
        <v>3.5000000000000003E-2</v>
      </c>
      <c r="R18" s="549">
        <v>3.5000000000000003E-2</v>
      </c>
      <c r="S18" s="549">
        <v>3.5000000000000003E-2</v>
      </c>
      <c r="T18" s="549">
        <v>3.5000000000000003E-2</v>
      </c>
      <c r="U18" s="549">
        <v>3.5000000000000003E-2</v>
      </c>
      <c r="V18" s="549">
        <v>3.5000000000000003E-2</v>
      </c>
      <c r="W18" s="549">
        <v>3.5000000000000003E-2</v>
      </c>
      <c r="X18" s="549">
        <v>3.5000000000000003E-2</v>
      </c>
      <c r="Y18" s="549">
        <v>3.5000000000000003E-2</v>
      </c>
      <c r="Z18" s="549">
        <v>3.5000000000000003E-2</v>
      </c>
      <c r="AA18" s="549">
        <v>3.5000000000000003E-2</v>
      </c>
      <c r="AB18" s="549">
        <v>3.5000000000000003E-2</v>
      </c>
      <c r="AC18" s="549">
        <v>3.5000000000000003E-2</v>
      </c>
      <c r="AD18" s="549">
        <v>3.5000000000000003E-2</v>
      </c>
      <c r="AE18" s="549">
        <v>3.5000000000000003E-2</v>
      </c>
      <c r="AF18" s="549">
        <v>3.5000000000000003E-2</v>
      </c>
      <c r="AG18" s="549">
        <v>3.5000000000000003E-2</v>
      </c>
      <c r="AH18" s="549">
        <v>3.5000000000000003E-2</v>
      </c>
      <c r="AI18" s="549">
        <v>3.5000000000000003E-2</v>
      </c>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row>
    <row r="19" spans="1:63">
      <c r="A19" s="548" t="s">
        <v>426</v>
      </c>
      <c r="B19" s="549">
        <v>0.05</v>
      </c>
      <c r="C19" s="549">
        <v>0.05</v>
      </c>
      <c r="D19" s="549">
        <v>0.05</v>
      </c>
      <c r="E19" s="549">
        <v>0.05</v>
      </c>
      <c r="F19" s="549">
        <v>0.05</v>
      </c>
      <c r="G19" s="549">
        <v>0.05</v>
      </c>
      <c r="H19" s="549">
        <v>0.05</v>
      </c>
      <c r="I19" s="549">
        <v>0.05</v>
      </c>
      <c r="J19" s="549">
        <v>0.05</v>
      </c>
      <c r="K19" s="549">
        <v>0.05</v>
      </c>
      <c r="L19" s="549">
        <v>0.05</v>
      </c>
      <c r="M19" s="549">
        <v>0.05</v>
      </c>
      <c r="N19" s="549">
        <v>0.05</v>
      </c>
      <c r="O19" s="549">
        <v>0.05</v>
      </c>
      <c r="P19" s="549">
        <v>0.05</v>
      </c>
      <c r="Q19" s="549">
        <v>0.05</v>
      </c>
      <c r="R19" s="549">
        <v>0.05</v>
      </c>
      <c r="S19" s="549">
        <v>0.05</v>
      </c>
      <c r="T19" s="549">
        <v>0.05</v>
      </c>
      <c r="U19" s="549">
        <v>0.05</v>
      </c>
      <c r="V19" s="549">
        <v>0.05</v>
      </c>
      <c r="W19" s="549">
        <v>0.05</v>
      </c>
      <c r="X19" s="549">
        <v>0.05</v>
      </c>
      <c r="Y19" s="549">
        <v>0.05</v>
      </c>
      <c r="Z19" s="549">
        <v>0.05</v>
      </c>
      <c r="AA19" s="549">
        <v>0.05</v>
      </c>
      <c r="AB19" s="549">
        <v>0.05</v>
      </c>
      <c r="AC19" s="549">
        <v>0.05</v>
      </c>
      <c r="AD19" s="549">
        <v>0.05</v>
      </c>
      <c r="AE19" s="549">
        <v>0.05</v>
      </c>
      <c r="AF19" s="549">
        <v>0.05</v>
      </c>
      <c r="AG19" s="549">
        <v>0.05</v>
      </c>
      <c r="AH19" s="549">
        <v>0.05</v>
      </c>
      <c r="AI19" s="549">
        <v>0.05</v>
      </c>
      <c r="AJ19" s="549">
        <v>0.05</v>
      </c>
      <c r="AK19" s="549">
        <v>0.05</v>
      </c>
      <c r="AL19" s="549">
        <v>0.05</v>
      </c>
      <c r="AM19" s="549">
        <v>0.05</v>
      </c>
      <c r="AN19" s="549">
        <v>0.05</v>
      </c>
      <c r="AO19" s="549">
        <v>0.05</v>
      </c>
      <c r="AP19" s="549">
        <v>0.05</v>
      </c>
      <c r="AQ19" s="549">
        <v>0.05</v>
      </c>
      <c r="AR19" s="549">
        <v>0.05</v>
      </c>
      <c r="AS19" s="549">
        <v>0.05</v>
      </c>
      <c r="AT19" s="549">
        <v>0.05</v>
      </c>
      <c r="AU19" s="549">
        <v>0.05</v>
      </c>
      <c r="AV19" s="549">
        <v>0.05</v>
      </c>
      <c r="AW19" s="549">
        <v>0.05</v>
      </c>
      <c r="AX19" s="549">
        <v>0.05</v>
      </c>
      <c r="AY19" s="549">
        <v>0.05</v>
      </c>
      <c r="AZ19" s="549">
        <v>0.05</v>
      </c>
      <c r="BA19" s="549">
        <v>0.05</v>
      </c>
      <c r="BB19" s="549">
        <v>0.05</v>
      </c>
      <c r="BC19" s="549">
        <v>0.05</v>
      </c>
      <c r="BD19" s="549">
        <v>0.05</v>
      </c>
      <c r="BE19" s="549">
        <v>0.05</v>
      </c>
      <c r="BF19" s="549">
        <v>0.05</v>
      </c>
      <c r="BG19" s="549">
        <v>0.05</v>
      </c>
      <c r="BH19" s="549">
        <v>0.05</v>
      </c>
      <c r="BI19" s="549">
        <v>0.05</v>
      </c>
      <c r="BJ19" s="549">
        <v>0.05</v>
      </c>
      <c r="BK19" s="549">
        <v>0.05</v>
      </c>
    </row>
    <row r="20" spans="1:63">
      <c r="A20" s="542"/>
      <c r="B20" s="542"/>
      <c r="C20" s="542"/>
      <c r="D20" s="542"/>
      <c r="E20" s="542"/>
      <c r="F20" s="542"/>
      <c r="G20" s="542"/>
      <c r="H20" s="542"/>
      <c r="I20" s="542"/>
      <c r="J20" s="542"/>
      <c r="K20" s="542"/>
    </row>
  </sheetData>
  <pageMargins left="0.7" right="0.7" top="0.75" bottom="0.75" header="0.3" footer="0.3"/>
  <pageSetup paperSize="9" orientation="portrait" r:id="rId1"/>
  <ignoredErrors>
    <ignoredError sqref="Q13:R13"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37"/>
  <sheetViews>
    <sheetView showGridLines="0" zoomScale="85" zoomScaleNormal="85" workbookViewId="0">
      <selection activeCell="L14" sqref="L14"/>
    </sheetView>
  </sheetViews>
  <sheetFormatPr defaultRowHeight="12.75"/>
  <cols>
    <col min="1" max="1" width="1.42578125" customWidth="1"/>
    <col min="2" max="2" width="28.85546875" customWidth="1"/>
    <col min="3" max="3" width="12" bestFit="1" customWidth="1"/>
    <col min="4" max="4" width="13.85546875" bestFit="1" customWidth="1"/>
    <col min="5" max="5" width="10.42578125" bestFit="1" customWidth="1"/>
    <col min="6" max="6" width="13.7109375" bestFit="1" customWidth="1"/>
    <col min="7" max="7" width="2.85546875" customWidth="1"/>
    <col min="8" max="10" width="16.5703125" style="576" bestFit="1" customWidth="1"/>
    <col min="11" max="11" width="2.85546875" customWidth="1"/>
    <col min="12" max="12" width="14.5703125" bestFit="1" customWidth="1"/>
    <col min="13" max="13" width="15" bestFit="1" customWidth="1"/>
  </cols>
  <sheetData>
    <row r="2" spans="2:12">
      <c r="C2" s="94"/>
      <c r="D2" s="592" t="s">
        <v>446</v>
      </c>
      <c r="E2" s="593" t="s">
        <v>142</v>
      </c>
      <c r="F2" s="594" t="s">
        <v>62</v>
      </c>
      <c r="G2" s="595"/>
      <c r="H2" s="596" t="s">
        <v>446</v>
      </c>
      <c r="I2" s="597" t="s">
        <v>142</v>
      </c>
      <c r="J2" s="598" t="s">
        <v>62</v>
      </c>
      <c r="K2" s="595"/>
    </row>
    <row r="3" spans="2:12">
      <c r="B3" s="573" t="s">
        <v>51</v>
      </c>
      <c r="D3" s="580"/>
      <c r="E3" s="588"/>
      <c r="F3" s="581"/>
      <c r="H3" s="584"/>
      <c r="I3" s="590"/>
      <c r="J3" s="585"/>
    </row>
    <row r="4" spans="2:12">
      <c r="B4" s="574" t="s">
        <v>233</v>
      </c>
      <c r="D4" s="580"/>
      <c r="E4" s="588"/>
      <c r="F4" s="581"/>
      <c r="H4" s="584"/>
      <c r="I4" s="590"/>
      <c r="J4" s="585"/>
    </row>
    <row r="5" spans="2:12">
      <c r="B5" s="575" t="s">
        <v>157</v>
      </c>
      <c r="D5" s="580"/>
      <c r="E5" s="588"/>
      <c r="F5" s="581"/>
      <c r="H5" s="584"/>
      <c r="I5" s="590"/>
      <c r="J5" s="585"/>
    </row>
    <row r="6" spans="2:12">
      <c r="B6" s="574" t="s">
        <v>165</v>
      </c>
      <c r="D6" s="580"/>
      <c r="E6" s="588"/>
      <c r="F6" s="581"/>
      <c r="H6" s="584"/>
      <c r="I6" s="590"/>
      <c r="J6" s="585"/>
    </row>
    <row r="7" spans="2:12">
      <c r="B7" s="575" t="s">
        <v>221</v>
      </c>
      <c r="D7" s="580"/>
      <c r="E7" s="588"/>
      <c r="F7" s="581"/>
      <c r="H7" s="584"/>
      <c r="I7" s="590"/>
      <c r="J7" s="585"/>
    </row>
    <row r="8" spans="2:12">
      <c r="B8" s="574" t="s">
        <v>222</v>
      </c>
      <c r="D8" s="580"/>
      <c r="E8" s="588"/>
      <c r="F8" s="581"/>
      <c r="H8" s="584"/>
      <c r="I8" s="590"/>
      <c r="J8" s="585"/>
    </row>
    <row r="9" spans="2:12">
      <c r="B9" s="575" t="s">
        <v>223</v>
      </c>
      <c r="D9" s="580"/>
      <c r="E9" s="588"/>
      <c r="F9" s="581"/>
      <c r="H9" s="584"/>
      <c r="I9" s="590"/>
      <c r="J9" s="585"/>
    </row>
    <row r="10" spans="2:12">
      <c r="B10" s="574" t="s">
        <v>234</v>
      </c>
      <c r="D10" s="580"/>
      <c r="E10" s="588"/>
      <c r="F10" s="581"/>
      <c r="H10" s="584"/>
      <c r="I10" s="590"/>
      <c r="J10" s="585"/>
    </row>
    <row r="11" spans="2:12">
      <c r="B11" s="575" t="s">
        <v>235</v>
      </c>
      <c r="D11" s="580"/>
      <c r="E11" s="588"/>
      <c r="F11" s="581"/>
      <c r="H11" s="584"/>
      <c r="I11" s="590"/>
      <c r="J11" s="585"/>
    </row>
    <row r="12" spans="2:12">
      <c r="B12" s="574" t="s">
        <v>29</v>
      </c>
      <c r="D12" s="580"/>
      <c r="E12" s="588"/>
      <c r="F12" s="581"/>
      <c r="H12" s="584"/>
      <c r="I12" s="590"/>
      <c r="J12" s="585"/>
    </row>
    <row r="13" spans="2:12">
      <c r="B13" s="575" t="s">
        <v>166</v>
      </c>
      <c r="D13" s="580"/>
      <c r="E13" s="588"/>
      <c r="F13" s="581"/>
      <c r="H13" s="584"/>
      <c r="I13" s="590"/>
      <c r="J13" s="585"/>
    </row>
    <row r="14" spans="2:12">
      <c r="B14" s="574" t="s">
        <v>224</v>
      </c>
      <c r="D14" s="744"/>
      <c r="E14" s="588"/>
      <c r="F14" s="581"/>
      <c r="H14" s="584">
        <v>137963.9719616494</v>
      </c>
      <c r="I14" s="590"/>
      <c r="J14" s="585"/>
      <c r="L14" s="745">
        <f>H14-'Amortisation Profile I'!B17</f>
        <v>-634732361.10803843</v>
      </c>
    </row>
    <row r="15" spans="2:12">
      <c r="B15" s="575" t="s">
        <v>56</v>
      </c>
      <c r="D15" s="580"/>
      <c r="E15" s="588"/>
      <c r="F15" s="581"/>
      <c r="H15" s="584"/>
      <c r="I15" s="590"/>
      <c r="J15" s="585"/>
    </row>
    <row r="16" spans="2:12">
      <c r="B16" s="574" t="s">
        <v>54</v>
      </c>
      <c r="D16" s="580"/>
      <c r="E16" s="588"/>
      <c r="F16" s="581"/>
      <c r="H16" s="584">
        <f>+'Run Out Schedule'!C59</f>
        <v>668742102.16999996</v>
      </c>
      <c r="I16" s="590"/>
      <c r="J16" s="585"/>
    </row>
    <row r="17" spans="2:13">
      <c r="B17" s="575" t="s">
        <v>55</v>
      </c>
      <c r="D17" s="580"/>
      <c r="E17" s="588"/>
      <c r="F17" s="581"/>
      <c r="H17" s="584"/>
      <c r="I17" s="590"/>
      <c r="J17" s="585"/>
    </row>
    <row r="18" spans="2:13">
      <c r="B18" s="574" t="s">
        <v>225</v>
      </c>
      <c r="D18" s="580"/>
      <c r="E18" s="588"/>
      <c r="F18" s="581"/>
      <c r="H18" s="584"/>
      <c r="I18" s="590"/>
      <c r="J18" s="585"/>
    </row>
    <row r="19" spans="2:13">
      <c r="B19" s="574"/>
      <c r="C19" s="94" t="s">
        <v>455</v>
      </c>
      <c r="D19" s="580">
        <f>+'Outstanding Contracts'!C42</f>
        <v>37438</v>
      </c>
      <c r="E19" s="588">
        <f>+'Outstanding Contracts'!E42+'Outstanding Contracts'!G42</f>
        <v>37438</v>
      </c>
      <c r="F19" s="581">
        <f>+'Outstanding Contracts'!K42+'Outstanding Contracts'!M42</f>
        <v>37438</v>
      </c>
      <c r="H19" s="584">
        <f>+'Outstanding Contracts'!D42</f>
        <v>668742102.16999996</v>
      </c>
      <c r="I19" s="590">
        <f>+'Outstanding Contracts'!F42+'Outstanding Contracts'!H42</f>
        <v>668742102.16999996</v>
      </c>
      <c r="J19" s="585">
        <f>+'Outstanding Contracts'!L42+'Outstanding Contracts'!N42</f>
        <v>668742102.16999996</v>
      </c>
      <c r="L19" s="616"/>
    </row>
    <row r="20" spans="2:13">
      <c r="B20" s="575" t="s">
        <v>433</v>
      </c>
      <c r="D20" s="580"/>
      <c r="E20" s="588"/>
      <c r="F20" s="581"/>
      <c r="H20" s="584"/>
      <c r="I20" s="590"/>
      <c r="J20" s="585"/>
      <c r="M20" s="616"/>
    </row>
    <row r="21" spans="2:13">
      <c r="B21" s="574" t="s">
        <v>254</v>
      </c>
      <c r="D21" s="580"/>
      <c r="E21" s="588"/>
      <c r="F21" s="581"/>
      <c r="H21" s="584"/>
      <c r="I21" s="590"/>
      <c r="J21" s="585"/>
    </row>
    <row r="22" spans="2:13">
      <c r="B22" s="575" t="s">
        <v>185</v>
      </c>
      <c r="D22" s="580"/>
      <c r="E22" s="588"/>
      <c r="F22" s="581"/>
      <c r="H22" s="584"/>
      <c r="I22" s="590"/>
      <c r="J22" s="585"/>
    </row>
    <row r="23" spans="2:13">
      <c r="B23" s="579"/>
      <c r="C23" s="20" t="s">
        <v>454</v>
      </c>
      <c r="D23" s="580">
        <f>+'Pool Data I'!D15</f>
        <v>37438</v>
      </c>
      <c r="E23" s="588">
        <f>+'Pool Data I'!H15+'Pool Data I'!J15</f>
        <v>37438</v>
      </c>
      <c r="F23" s="581">
        <f>+'Pool Data I'!N15+'Pool Data I'!P15</f>
        <v>37438</v>
      </c>
      <c r="H23" s="584">
        <f>+'Pool Data I'!F15</f>
        <v>668742102.16999996</v>
      </c>
      <c r="I23" s="590">
        <f>+'Pool Data I'!I15+'Pool Data I'!K15</f>
        <v>668742102.16999996</v>
      </c>
      <c r="J23" s="585">
        <f>+'Pool Data I'!O15+'Pool Data I'!Q15</f>
        <v>668742102.16999996</v>
      </c>
    </row>
    <row r="24" spans="2:13">
      <c r="B24" s="574" t="s">
        <v>193</v>
      </c>
      <c r="D24" s="580"/>
      <c r="E24" s="588"/>
      <c r="F24" s="581"/>
      <c r="H24" s="584"/>
      <c r="I24" s="590"/>
      <c r="J24" s="585"/>
    </row>
    <row r="25" spans="2:13">
      <c r="B25" s="574"/>
      <c r="C25" s="94" t="s">
        <v>452</v>
      </c>
      <c r="D25" s="580">
        <f>+'Pool Data II'!E21</f>
        <v>37438</v>
      </c>
      <c r="E25" s="588">
        <f>+'Pool Data II'!I21+'Pool Data II'!K21</f>
        <v>37438</v>
      </c>
      <c r="F25" s="581">
        <f>+'Pool Data II'!O21+'Pool Data II'!Q21</f>
        <v>37438</v>
      </c>
      <c r="H25" s="584">
        <f>+'Pool Data II'!G21</f>
        <v>668742102.17000008</v>
      </c>
      <c r="I25" s="590">
        <f>+'Pool Data II'!J21+'Pool Data II'!L21</f>
        <v>668742102.17000008</v>
      </c>
      <c r="J25" s="585">
        <f>+'Pool Data II'!P21+'Pool Data II'!R21</f>
        <v>668742102.16999984</v>
      </c>
      <c r="M25" s="576"/>
    </row>
    <row r="26" spans="2:13">
      <c r="B26" s="574"/>
      <c r="C26" s="94" t="s">
        <v>453</v>
      </c>
      <c r="D26" s="580">
        <f>+'Pool Data II'!E43</f>
        <v>37438</v>
      </c>
      <c r="E26" s="588">
        <f>+'Pool Data II'!I43+'Pool Data II'!K43</f>
        <v>37438</v>
      </c>
      <c r="F26" s="581">
        <f>+'Pool Data II'!O43+'Pool Data II'!Q43</f>
        <v>37438</v>
      </c>
      <c r="H26" s="584">
        <f>+'Pool Data II'!G43</f>
        <v>668742102.17000008</v>
      </c>
      <c r="I26" s="590">
        <f>+'Pool Data II'!J43+'Pool Data II'!L43</f>
        <v>668742102.17000008</v>
      </c>
      <c r="J26" s="585">
        <f>+'Pool Data II'!P43+'Pool Data II'!R43</f>
        <v>668742102.16999984</v>
      </c>
    </row>
    <row r="27" spans="2:13">
      <c r="B27" s="575" t="s">
        <v>194</v>
      </c>
      <c r="D27" s="580"/>
      <c r="E27" s="588"/>
      <c r="F27" s="581"/>
      <c r="H27" s="584"/>
      <c r="I27" s="590"/>
      <c r="J27" s="585"/>
    </row>
    <row r="28" spans="2:13">
      <c r="C28" s="94" t="s">
        <v>450</v>
      </c>
      <c r="D28" s="580">
        <f>+'Pool Data III'!B15</f>
        <v>37438</v>
      </c>
      <c r="E28" s="588">
        <f>+'Pool Data III'!F15+'Pool Data III'!H15</f>
        <v>37438</v>
      </c>
      <c r="F28" s="581">
        <f>+'Pool Data III'!J15+'Pool Data III'!L15</f>
        <v>37438</v>
      </c>
      <c r="H28" s="584">
        <f>+'Pool Data III'!D15</f>
        <v>668742102.17000008</v>
      </c>
      <c r="I28" s="590">
        <f>+'Pool Data III'!G15+'Pool Data III'!I15</f>
        <v>668742102.17000008</v>
      </c>
      <c r="J28" s="585">
        <f>+'Pool Data III'!K15+'Pool Data III'!M15</f>
        <v>668742102.16999996</v>
      </c>
    </row>
    <row r="29" spans="2:13">
      <c r="C29" s="94" t="s">
        <v>449</v>
      </c>
      <c r="D29" s="580">
        <f>+'Pool Data III'!B30</f>
        <v>37438</v>
      </c>
      <c r="E29" s="588">
        <f>+'Pool Data III'!F30+'Pool Data III'!H30</f>
        <v>37438</v>
      </c>
      <c r="F29" s="581">
        <f>+'Pool Data III'!J30+'Pool Data III'!L30</f>
        <v>37438</v>
      </c>
      <c r="H29" s="584">
        <f>+'Pool Data III'!D30</f>
        <v>668742102.16999996</v>
      </c>
      <c r="I29" s="590">
        <f>+'Pool Data III'!G30+'Pool Data III'!I30</f>
        <v>668742102.16999996</v>
      </c>
      <c r="J29" s="585">
        <f>+'Pool Data III'!K30+'Pool Data III'!M30</f>
        <v>668742102.16999996</v>
      </c>
    </row>
    <row r="30" spans="2:13">
      <c r="C30" s="94" t="s">
        <v>451</v>
      </c>
      <c r="D30" s="580">
        <f>+'Pool Data III'!B46</f>
        <v>37438</v>
      </c>
      <c r="E30" s="588">
        <f>+'Pool Data III'!F46+'Pool Data III'!H46</f>
        <v>37438</v>
      </c>
      <c r="F30" s="581">
        <f>+'Pool Data III'!J46+'Pool Data III'!L46</f>
        <v>37438</v>
      </c>
      <c r="H30" s="584">
        <f>+'Pool Data III'!D46</f>
        <v>668742102.17000008</v>
      </c>
      <c r="I30" s="590">
        <f>+'Pool Data III'!G46+'Pool Data III'!I46</f>
        <v>668742102.17000008</v>
      </c>
      <c r="J30" s="585">
        <f>+'Pool Data III'!K46+'Pool Data III'!M46</f>
        <v>668742102.17000008</v>
      </c>
    </row>
    <row r="31" spans="2:13">
      <c r="B31" s="574" t="s">
        <v>195</v>
      </c>
      <c r="D31" s="580"/>
      <c r="E31" s="588"/>
      <c r="F31" s="581"/>
      <c r="H31" s="584"/>
      <c r="I31" s="590"/>
      <c r="J31" s="585"/>
    </row>
    <row r="32" spans="2:13">
      <c r="B32" s="578"/>
      <c r="C32" s="94" t="s">
        <v>447</v>
      </c>
      <c r="D32" s="580">
        <f>+'Pool Data IV'!C14</f>
        <v>37438</v>
      </c>
      <c r="E32" s="588">
        <f>+'Pool Data IV'!G14+'Pool Data IV'!I14</f>
        <v>37438</v>
      </c>
      <c r="F32" s="581">
        <f>+'Pool Data IV'!K14+'Pool Data IV'!M14</f>
        <v>37438</v>
      </c>
      <c r="H32" s="584">
        <f>+'Pool Data IV'!E14</f>
        <v>668742102.16999996</v>
      </c>
      <c r="I32" s="590">
        <f>+'Pool Data IV'!H14+'Pool Data IV'!J14</f>
        <v>668742102.17000008</v>
      </c>
      <c r="J32" s="585">
        <f>+'Pool Data IV'!L14+'Pool Data IV'!N14</f>
        <v>668742102.16999996</v>
      </c>
    </row>
    <row r="33" spans="2:10">
      <c r="B33" s="578"/>
      <c r="C33" s="94" t="s">
        <v>448</v>
      </c>
      <c r="D33" s="580">
        <f>+'Pool Data IV'!C46</f>
        <v>37438</v>
      </c>
      <c r="E33" s="588">
        <f>+'Pool Data IV'!G46+'Pool Data IV'!I46</f>
        <v>37438</v>
      </c>
      <c r="F33" s="581">
        <f>+'Pool Data IV'!K46+'Pool Data IV'!M46</f>
        <v>37438</v>
      </c>
      <c r="H33" s="584">
        <f>+'Pool Data IV'!E46</f>
        <v>668742102.17000008</v>
      </c>
      <c r="I33" s="590">
        <f>+'Pool Data IV'!H46+'Pool Data IV'!J46</f>
        <v>668742102.17000008</v>
      </c>
      <c r="J33" s="585">
        <f>+'Pool Data IV'!L46+'Pool Data IV'!N46</f>
        <v>668742102.16999984</v>
      </c>
    </row>
    <row r="34" spans="2:10">
      <c r="B34" s="577" t="s">
        <v>196</v>
      </c>
      <c r="C34" s="288"/>
      <c r="D34" s="582">
        <f>+'Pool Data V'!C50</f>
        <v>37438</v>
      </c>
      <c r="E34" s="589">
        <f>+'Pool Data V'!G50+'Pool Data V'!I50</f>
        <v>37438</v>
      </c>
      <c r="F34" s="583">
        <f>+'Pool Data V'!K50+'Pool Data V'!M50</f>
        <v>37438</v>
      </c>
      <c r="H34" s="586">
        <f>+'Pool Data V'!E50</f>
        <v>668742102.17000008</v>
      </c>
      <c r="I34" s="591">
        <f>+'Pool Data V'!H50+'Pool Data V'!J50</f>
        <v>668742102.17000008</v>
      </c>
      <c r="J34" s="587">
        <f>+'Pool Data V'!L50+'Pool Data V'!N50</f>
        <v>668742102.16999996</v>
      </c>
    </row>
    <row r="36" spans="2:10">
      <c r="H36" s="576">
        <f>H33-H34</f>
        <v>0</v>
      </c>
    </row>
    <row r="37" spans="2:10">
      <c r="H37" s="576">
        <f>H16-H19</f>
        <v>0</v>
      </c>
    </row>
  </sheetData>
  <hyperlinks>
    <hyperlink ref="B3" location="Cover!A1" display="Cover"/>
    <hyperlink ref="B6" location="'Parties Overview'!A1" display="Parties Overview"/>
    <hyperlink ref="B7" location="'Transaction Events I'!A1" display="Transaction Events I"/>
    <hyperlink ref="B11" location="'Notes II'!A1" display="Information regarding the Notes II"/>
    <hyperlink ref="B13" location="'Swaps &amp; Waterfall'!A1" display="Swap Fixing / Waterfall"/>
    <hyperlink ref="B16" location="'Run Out Schedule'!A1" display="Run Out Schedule I"/>
    <hyperlink ref="B18" location="'Outstanding Contracts'!A1" display="Outstanding Contracts"/>
    <hyperlink ref="B20" location="Delinquencies!A1" display="Delinquencies"/>
    <hyperlink ref="B5" location="'Reporting Details'!A1" display="Reporting Details"/>
    <hyperlink ref="B8" location="'Transaction Events II'!A1" display="Transaction Events II"/>
    <hyperlink ref="B9" location="'Transaction Events III'!A1" display="Transaction Events III"/>
    <hyperlink ref="B17" location="'Run Out Schedule II'!A1" display="Run Out Schedule II"/>
    <hyperlink ref="B4" location="Contents!A1" display="Contents"/>
    <hyperlink ref="B10" location="'Notes I'!A1" display="Information regarding the Notes I"/>
    <hyperlink ref="B12" location="'Credit Enhancement'!A1" display="Credit Enhancement"/>
    <hyperlink ref="B14" location="'Amortisation Profile I'!A1" display="Amortisation Profile I"/>
    <hyperlink ref="B15" location="'Amortisation Profile II'!A1" display="Amortisation Profile II"/>
    <hyperlink ref="B22" location="'Pool Data I'!A1" display="Pool Data I"/>
    <hyperlink ref="B24" location="'Pool Data II'!A1" display="Pool Data II"/>
    <hyperlink ref="B27" location="'Pool Data III'!A1" display="Pool Data III"/>
    <hyperlink ref="B31" location="'Pool Data IV'!A1" display="Pool Data IV"/>
    <hyperlink ref="B21" location="Recoveries!A1" display="Recoveries"/>
    <hyperlink ref="B34" location="'Pool Data V'!A1" display="Pool Data V"/>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946"/>
  <sheetViews>
    <sheetView showGridLines="0" workbookViewId="0"/>
  </sheetViews>
  <sheetFormatPr defaultRowHeight="12.75"/>
  <cols>
    <col min="1" max="1" width="11.28515625" style="618" customWidth="1"/>
    <col min="2" max="2" width="18" style="618" customWidth="1"/>
    <col min="3" max="3" width="45.140625" style="618" customWidth="1"/>
    <col min="4" max="256" width="9.140625" style="618"/>
    <col min="257" max="257" width="11.28515625" style="618" customWidth="1"/>
    <col min="258" max="258" width="18" style="618" customWidth="1"/>
    <col min="259" max="259" width="45.140625" style="618" customWidth="1"/>
    <col min="260" max="512" width="9.140625" style="618"/>
    <col min="513" max="513" width="11.28515625" style="618" customWidth="1"/>
    <col min="514" max="514" width="18" style="618" customWidth="1"/>
    <col min="515" max="515" width="45.140625" style="618" customWidth="1"/>
    <col min="516" max="768" width="9.140625" style="618"/>
    <col min="769" max="769" width="11.28515625" style="618" customWidth="1"/>
    <col min="770" max="770" width="18" style="618" customWidth="1"/>
    <col min="771" max="771" width="45.140625" style="618" customWidth="1"/>
    <col min="772" max="1024" width="9.140625" style="618"/>
    <col min="1025" max="1025" width="11.28515625" style="618" customWidth="1"/>
    <col min="1026" max="1026" width="18" style="618" customWidth="1"/>
    <col min="1027" max="1027" width="45.140625" style="618" customWidth="1"/>
    <col min="1028" max="1280" width="9.140625" style="618"/>
    <col min="1281" max="1281" width="11.28515625" style="618" customWidth="1"/>
    <col min="1282" max="1282" width="18" style="618" customWidth="1"/>
    <col min="1283" max="1283" width="45.140625" style="618" customWidth="1"/>
    <col min="1284" max="1536" width="9.140625" style="618"/>
    <col min="1537" max="1537" width="11.28515625" style="618" customWidth="1"/>
    <col min="1538" max="1538" width="18" style="618" customWidth="1"/>
    <col min="1539" max="1539" width="45.140625" style="618" customWidth="1"/>
    <col min="1540" max="1792" width="9.140625" style="618"/>
    <col min="1793" max="1793" width="11.28515625" style="618" customWidth="1"/>
    <col min="1794" max="1794" width="18" style="618" customWidth="1"/>
    <col min="1795" max="1795" width="45.140625" style="618" customWidth="1"/>
    <col min="1796" max="2048" width="9.140625" style="618"/>
    <col min="2049" max="2049" width="11.28515625" style="618" customWidth="1"/>
    <col min="2050" max="2050" width="18" style="618" customWidth="1"/>
    <col min="2051" max="2051" width="45.140625" style="618" customWidth="1"/>
    <col min="2052" max="2304" width="9.140625" style="618"/>
    <col min="2305" max="2305" width="11.28515625" style="618" customWidth="1"/>
    <col min="2306" max="2306" width="18" style="618" customWidth="1"/>
    <col min="2307" max="2307" width="45.140625" style="618" customWidth="1"/>
    <col min="2308" max="2560" width="9.140625" style="618"/>
    <col min="2561" max="2561" width="11.28515625" style="618" customWidth="1"/>
    <col min="2562" max="2562" width="18" style="618" customWidth="1"/>
    <col min="2563" max="2563" width="45.140625" style="618" customWidth="1"/>
    <col min="2564" max="2816" width="9.140625" style="618"/>
    <col min="2817" max="2817" width="11.28515625" style="618" customWidth="1"/>
    <col min="2818" max="2818" width="18" style="618" customWidth="1"/>
    <col min="2819" max="2819" width="45.140625" style="618" customWidth="1"/>
    <col min="2820" max="3072" width="9.140625" style="618"/>
    <col min="3073" max="3073" width="11.28515625" style="618" customWidth="1"/>
    <col min="3074" max="3074" width="18" style="618" customWidth="1"/>
    <col min="3075" max="3075" width="45.140625" style="618" customWidth="1"/>
    <col min="3076" max="3328" width="9.140625" style="618"/>
    <col min="3329" max="3329" width="11.28515625" style="618" customWidth="1"/>
    <col min="3330" max="3330" width="18" style="618" customWidth="1"/>
    <col min="3331" max="3331" width="45.140625" style="618" customWidth="1"/>
    <col min="3332" max="3584" width="9.140625" style="618"/>
    <col min="3585" max="3585" width="11.28515625" style="618" customWidth="1"/>
    <col min="3586" max="3586" width="18" style="618" customWidth="1"/>
    <col min="3587" max="3587" width="45.140625" style="618" customWidth="1"/>
    <col min="3588" max="3840" width="9.140625" style="618"/>
    <col min="3841" max="3841" width="11.28515625" style="618" customWidth="1"/>
    <col min="3842" max="3842" width="18" style="618" customWidth="1"/>
    <col min="3843" max="3843" width="45.140625" style="618" customWidth="1"/>
    <col min="3844" max="4096" width="9.140625" style="618"/>
    <col min="4097" max="4097" width="11.28515625" style="618" customWidth="1"/>
    <col min="4098" max="4098" width="18" style="618" customWidth="1"/>
    <col min="4099" max="4099" width="45.140625" style="618" customWidth="1"/>
    <col min="4100" max="4352" width="9.140625" style="618"/>
    <col min="4353" max="4353" width="11.28515625" style="618" customWidth="1"/>
    <col min="4354" max="4354" width="18" style="618" customWidth="1"/>
    <col min="4355" max="4355" width="45.140625" style="618" customWidth="1"/>
    <col min="4356" max="4608" width="9.140625" style="618"/>
    <col min="4609" max="4609" width="11.28515625" style="618" customWidth="1"/>
    <col min="4610" max="4610" width="18" style="618" customWidth="1"/>
    <col min="4611" max="4611" width="45.140625" style="618" customWidth="1"/>
    <col min="4612" max="4864" width="9.140625" style="618"/>
    <col min="4865" max="4865" width="11.28515625" style="618" customWidth="1"/>
    <col min="4866" max="4866" width="18" style="618" customWidth="1"/>
    <col min="4867" max="4867" width="45.140625" style="618" customWidth="1"/>
    <col min="4868" max="5120" width="9.140625" style="618"/>
    <col min="5121" max="5121" width="11.28515625" style="618" customWidth="1"/>
    <col min="5122" max="5122" width="18" style="618" customWidth="1"/>
    <col min="5123" max="5123" width="45.140625" style="618" customWidth="1"/>
    <col min="5124" max="5376" width="9.140625" style="618"/>
    <col min="5377" max="5377" width="11.28515625" style="618" customWidth="1"/>
    <col min="5378" max="5378" width="18" style="618" customWidth="1"/>
    <col min="5379" max="5379" width="45.140625" style="618" customWidth="1"/>
    <col min="5380" max="5632" width="9.140625" style="618"/>
    <col min="5633" max="5633" width="11.28515625" style="618" customWidth="1"/>
    <col min="5634" max="5634" width="18" style="618" customWidth="1"/>
    <col min="5635" max="5635" width="45.140625" style="618" customWidth="1"/>
    <col min="5636" max="5888" width="9.140625" style="618"/>
    <col min="5889" max="5889" width="11.28515625" style="618" customWidth="1"/>
    <col min="5890" max="5890" width="18" style="618" customWidth="1"/>
    <col min="5891" max="5891" width="45.140625" style="618" customWidth="1"/>
    <col min="5892" max="6144" width="9.140625" style="618"/>
    <col min="6145" max="6145" width="11.28515625" style="618" customWidth="1"/>
    <col min="6146" max="6146" width="18" style="618" customWidth="1"/>
    <col min="6147" max="6147" width="45.140625" style="618" customWidth="1"/>
    <col min="6148" max="6400" width="9.140625" style="618"/>
    <col min="6401" max="6401" width="11.28515625" style="618" customWidth="1"/>
    <col min="6402" max="6402" width="18" style="618" customWidth="1"/>
    <col min="6403" max="6403" width="45.140625" style="618" customWidth="1"/>
    <col min="6404" max="6656" width="9.140625" style="618"/>
    <col min="6657" max="6657" width="11.28515625" style="618" customWidth="1"/>
    <col min="6658" max="6658" width="18" style="618" customWidth="1"/>
    <col min="6659" max="6659" width="45.140625" style="618" customWidth="1"/>
    <col min="6660" max="6912" width="9.140625" style="618"/>
    <col min="6913" max="6913" width="11.28515625" style="618" customWidth="1"/>
    <col min="6914" max="6914" width="18" style="618" customWidth="1"/>
    <col min="6915" max="6915" width="45.140625" style="618" customWidth="1"/>
    <col min="6916" max="7168" width="9.140625" style="618"/>
    <col min="7169" max="7169" width="11.28515625" style="618" customWidth="1"/>
    <col min="7170" max="7170" width="18" style="618" customWidth="1"/>
    <col min="7171" max="7171" width="45.140625" style="618" customWidth="1"/>
    <col min="7172" max="7424" width="9.140625" style="618"/>
    <col min="7425" max="7425" width="11.28515625" style="618" customWidth="1"/>
    <col min="7426" max="7426" width="18" style="618" customWidth="1"/>
    <col min="7427" max="7427" width="45.140625" style="618" customWidth="1"/>
    <col min="7428" max="7680" width="9.140625" style="618"/>
    <col min="7681" max="7681" width="11.28515625" style="618" customWidth="1"/>
    <col min="7682" max="7682" width="18" style="618" customWidth="1"/>
    <col min="7683" max="7683" width="45.140625" style="618" customWidth="1"/>
    <col min="7684" max="7936" width="9.140625" style="618"/>
    <col min="7937" max="7937" width="11.28515625" style="618" customWidth="1"/>
    <col min="7938" max="7938" width="18" style="618" customWidth="1"/>
    <col min="7939" max="7939" width="45.140625" style="618" customWidth="1"/>
    <col min="7940" max="8192" width="9.140625" style="618"/>
    <col min="8193" max="8193" width="11.28515625" style="618" customWidth="1"/>
    <col min="8194" max="8194" width="18" style="618" customWidth="1"/>
    <col min="8195" max="8195" width="45.140625" style="618" customWidth="1"/>
    <col min="8196" max="8448" width="9.140625" style="618"/>
    <col min="8449" max="8449" width="11.28515625" style="618" customWidth="1"/>
    <col min="8450" max="8450" width="18" style="618" customWidth="1"/>
    <col min="8451" max="8451" width="45.140625" style="618" customWidth="1"/>
    <col min="8452" max="8704" width="9.140625" style="618"/>
    <col min="8705" max="8705" width="11.28515625" style="618" customWidth="1"/>
    <col min="8706" max="8706" width="18" style="618" customWidth="1"/>
    <col min="8707" max="8707" width="45.140625" style="618" customWidth="1"/>
    <col min="8708" max="8960" width="9.140625" style="618"/>
    <col min="8961" max="8961" width="11.28515625" style="618" customWidth="1"/>
    <col min="8962" max="8962" width="18" style="618" customWidth="1"/>
    <col min="8963" max="8963" width="45.140625" style="618" customWidth="1"/>
    <col min="8964" max="9216" width="9.140625" style="618"/>
    <col min="9217" max="9217" width="11.28515625" style="618" customWidth="1"/>
    <col min="9218" max="9218" width="18" style="618" customWidth="1"/>
    <col min="9219" max="9219" width="45.140625" style="618" customWidth="1"/>
    <col min="9220" max="9472" width="9.140625" style="618"/>
    <col min="9473" max="9473" width="11.28515625" style="618" customWidth="1"/>
    <col min="9474" max="9474" width="18" style="618" customWidth="1"/>
    <col min="9475" max="9475" width="45.140625" style="618" customWidth="1"/>
    <col min="9476" max="9728" width="9.140625" style="618"/>
    <col min="9729" max="9729" width="11.28515625" style="618" customWidth="1"/>
    <col min="9730" max="9730" width="18" style="618" customWidth="1"/>
    <col min="9731" max="9731" width="45.140625" style="618" customWidth="1"/>
    <col min="9732" max="9984" width="9.140625" style="618"/>
    <col min="9985" max="9985" width="11.28515625" style="618" customWidth="1"/>
    <col min="9986" max="9986" width="18" style="618" customWidth="1"/>
    <col min="9987" max="9987" width="45.140625" style="618" customWidth="1"/>
    <col min="9988" max="10240" width="9.140625" style="618"/>
    <col min="10241" max="10241" width="11.28515625" style="618" customWidth="1"/>
    <col min="10242" max="10242" width="18" style="618" customWidth="1"/>
    <col min="10243" max="10243" width="45.140625" style="618" customWidth="1"/>
    <col min="10244" max="10496" width="9.140625" style="618"/>
    <col min="10497" max="10497" width="11.28515625" style="618" customWidth="1"/>
    <col min="10498" max="10498" width="18" style="618" customWidth="1"/>
    <col min="10499" max="10499" width="45.140625" style="618" customWidth="1"/>
    <col min="10500" max="10752" width="9.140625" style="618"/>
    <col min="10753" max="10753" width="11.28515625" style="618" customWidth="1"/>
    <col min="10754" max="10754" width="18" style="618" customWidth="1"/>
    <col min="10755" max="10755" width="45.140625" style="618" customWidth="1"/>
    <col min="10756" max="11008" width="9.140625" style="618"/>
    <col min="11009" max="11009" width="11.28515625" style="618" customWidth="1"/>
    <col min="11010" max="11010" width="18" style="618" customWidth="1"/>
    <col min="11011" max="11011" width="45.140625" style="618" customWidth="1"/>
    <col min="11012" max="11264" width="9.140625" style="618"/>
    <col min="11265" max="11265" width="11.28515625" style="618" customWidth="1"/>
    <col min="11266" max="11266" width="18" style="618" customWidth="1"/>
    <col min="11267" max="11267" width="45.140625" style="618" customWidth="1"/>
    <col min="11268" max="11520" width="9.140625" style="618"/>
    <col min="11521" max="11521" width="11.28515625" style="618" customWidth="1"/>
    <col min="11522" max="11522" width="18" style="618" customWidth="1"/>
    <col min="11523" max="11523" width="45.140625" style="618" customWidth="1"/>
    <col min="11524" max="11776" width="9.140625" style="618"/>
    <col min="11777" max="11777" width="11.28515625" style="618" customWidth="1"/>
    <col min="11778" max="11778" width="18" style="618" customWidth="1"/>
    <col min="11779" max="11779" width="45.140625" style="618" customWidth="1"/>
    <col min="11780" max="12032" width="9.140625" style="618"/>
    <col min="12033" max="12033" width="11.28515625" style="618" customWidth="1"/>
    <col min="12034" max="12034" width="18" style="618" customWidth="1"/>
    <col min="12035" max="12035" width="45.140625" style="618" customWidth="1"/>
    <col min="12036" max="12288" width="9.140625" style="618"/>
    <col min="12289" max="12289" width="11.28515625" style="618" customWidth="1"/>
    <col min="12290" max="12290" width="18" style="618" customWidth="1"/>
    <col min="12291" max="12291" width="45.140625" style="618" customWidth="1"/>
    <col min="12292" max="12544" width="9.140625" style="618"/>
    <col min="12545" max="12545" width="11.28515625" style="618" customWidth="1"/>
    <col min="12546" max="12546" width="18" style="618" customWidth="1"/>
    <col min="12547" max="12547" width="45.140625" style="618" customWidth="1"/>
    <col min="12548" max="12800" width="9.140625" style="618"/>
    <col min="12801" max="12801" width="11.28515625" style="618" customWidth="1"/>
    <col min="12802" max="12802" width="18" style="618" customWidth="1"/>
    <col min="12803" max="12803" width="45.140625" style="618" customWidth="1"/>
    <col min="12804" max="13056" width="9.140625" style="618"/>
    <col min="13057" max="13057" width="11.28515625" style="618" customWidth="1"/>
    <col min="13058" max="13058" width="18" style="618" customWidth="1"/>
    <col min="13059" max="13059" width="45.140625" style="618" customWidth="1"/>
    <col min="13060" max="13312" width="9.140625" style="618"/>
    <col min="13313" max="13313" width="11.28515625" style="618" customWidth="1"/>
    <col min="13314" max="13314" width="18" style="618" customWidth="1"/>
    <col min="13315" max="13315" width="45.140625" style="618" customWidth="1"/>
    <col min="13316" max="13568" width="9.140625" style="618"/>
    <col min="13569" max="13569" width="11.28515625" style="618" customWidth="1"/>
    <col min="13570" max="13570" width="18" style="618" customWidth="1"/>
    <col min="13571" max="13571" width="45.140625" style="618" customWidth="1"/>
    <col min="13572" max="13824" width="9.140625" style="618"/>
    <col min="13825" max="13825" width="11.28515625" style="618" customWidth="1"/>
    <col min="13826" max="13826" width="18" style="618" customWidth="1"/>
    <col min="13827" max="13827" width="45.140625" style="618" customWidth="1"/>
    <col min="13828" max="14080" width="9.140625" style="618"/>
    <col min="14081" max="14081" width="11.28515625" style="618" customWidth="1"/>
    <col min="14082" max="14082" width="18" style="618" customWidth="1"/>
    <col min="14083" max="14083" width="45.140625" style="618" customWidth="1"/>
    <col min="14084" max="14336" width="9.140625" style="618"/>
    <col min="14337" max="14337" width="11.28515625" style="618" customWidth="1"/>
    <col min="14338" max="14338" width="18" style="618" customWidth="1"/>
    <col min="14339" max="14339" width="45.140625" style="618" customWidth="1"/>
    <col min="14340" max="14592" width="9.140625" style="618"/>
    <col min="14593" max="14593" width="11.28515625" style="618" customWidth="1"/>
    <col min="14594" max="14594" width="18" style="618" customWidth="1"/>
    <col min="14595" max="14595" width="45.140625" style="618" customWidth="1"/>
    <col min="14596" max="14848" width="9.140625" style="618"/>
    <col min="14849" max="14849" width="11.28515625" style="618" customWidth="1"/>
    <col min="14850" max="14850" width="18" style="618" customWidth="1"/>
    <col min="14851" max="14851" width="45.140625" style="618" customWidth="1"/>
    <col min="14852" max="15104" width="9.140625" style="618"/>
    <col min="15105" max="15105" width="11.28515625" style="618" customWidth="1"/>
    <col min="15106" max="15106" width="18" style="618" customWidth="1"/>
    <col min="15107" max="15107" width="45.140625" style="618" customWidth="1"/>
    <col min="15108" max="15360" width="9.140625" style="618"/>
    <col min="15361" max="15361" width="11.28515625" style="618" customWidth="1"/>
    <col min="15362" max="15362" width="18" style="618" customWidth="1"/>
    <col min="15363" max="15363" width="45.140625" style="618" customWidth="1"/>
    <col min="15364" max="15616" width="9.140625" style="618"/>
    <col min="15617" max="15617" width="11.28515625" style="618" customWidth="1"/>
    <col min="15618" max="15618" width="18" style="618" customWidth="1"/>
    <col min="15619" max="15619" width="45.140625" style="618" customWidth="1"/>
    <col min="15620" max="15872" width="9.140625" style="618"/>
    <col min="15873" max="15873" width="11.28515625" style="618" customWidth="1"/>
    <col min="15874" max="15874" width="18" style="618" customWidth="1"/>
    <col min="15875" max="15875" width="45.140625" style="618" customWidth="1"/>
    <col min="15876" max="16128" width="9.140625" style="618"/>
    <col min="16129" max="16129" width="11.28515625" style="618" customWidth="1"/>
    <col min="16130" max="16130" width="18" style="618" customWidth="1"/>
    <col min="16131" max="16131" width="45.140625" style="618" customWidth="1"/>
    <col min="16132" max="16384" width="9.140625" style="618"/>
  </cols>
  <sheetData>
    <row r="1" spans="1:3" ht="13.5" thickBot="1">
      <c r="A1" s="627" t="s">
        <v>509</v>
      </c>
      <c r="B1" s="628" t="s">
        <v>510</v>
      </c>
      <c r="C1" s="629" t="s">
        <v>511</v>
      </c>
    </row>
    <row r="2" spans="1:3" ht="13.5" thickBot="1">
      <c r="A2" s="619">
        <v>36892</v>
      </c>
      <c r="B2" s="620" t="s">
        <v>512</v>
      </c>
      <c r="C2" s="621" t="s">
        <v>513</v>
      </c>
    </row>
    <row r="3" spans="1:3" ht="13.5" thickBot="1">
      <c r="A3" s="619">
        <v>36948</v>
      </c>
      <c r="B3" s="620" t="s">
        <v>512</v>
      </c>
      <c r="C3" s="621" t="s">
        <v>514</v>
      </c>
    </row>
    <row r="4" spans="1:3" ht="13.5" thickBot="1">
      <c r="A4" s="619">
        <v>36949</v>
      </c>
      <c r="B4" s="620" t="s">
        <v>515</v>
      </c>
      <c r="C4" s="621" t="s">
        <v>514</v>
      </c>
    </row>
    <row r="5" spans="1:3" ht="13.5" thickBot="1">
      <c r="A5" s="619">
        <v>36994</v>
      </c>
      <c r="B5" s="620" t="s">
        <v>516</v>
      </c>
      <c r="C5" s="621" t="s">
        <v>517</v>
      </c>
    </row>
    <row r="6" spans="1:3" ht="13.5" thickBot="1">
      <c r="A6" s="619">
        <v>37002</v>
      </c>
      <c r="B6" s="620" t="s">
        <v>518</v>
      </c>
      <c r="C6" s="621" t="s">
        <v>519</v>
      </c>
    </row>
    <row r="7" spans="1:3" ht="13.5" thickBot="1">
      <c r="A7" s="619">
        <v>37012</v>
      </c>
      <c r="B7" s="620" t="s">
        <v>515</v>
      </c>
      <c r="C7" s="621" t="s">
        <v>520</v>
      </c>
    </row>
    <row r="8" spans="1:3" ht="13.5" thickBot="1">
      <c r="A8" s="619">
        <v>37056</v>
      </c>
      <c r="B8" s="620" t="s">
        <v>521</v>
      </c>
      <c r="C8" s="621" t="s">
        <v>522</v>
      </c>
    </row>
    <row r="9" spans="1:3" ht="13.5" thickBot="1">
      <c r="A9" s="619">
        <v>37141</v>
      </c>
      <c r="B9" s="620" t="s">
        <v>516</v>
      </c>
      <c r="C9" s="621" t="s">
        <v>523</v>
      </c>
    </row>
    <row r="10" spans="1:3" ht="14.25" thickBot="1">
      <c r="A10" s="619">
        <v>37176</v>
      </c>
      <c r="B10" s="620" t="s">
        <v>516</v>
      </c>
      <c r="C10" s="621" t="s">
        <v>524</v>
      </c>
    </row>
    <row r="11" spans="1:3" ht="13.5" thickBot="1">
      <c r="A11" s="619">
        <v>37197</v>
      </c>
      <c r="B11" s="620" t="s">
        <v>516</v>
      </c>
      <c r="C11" s="621" t="s">
        <v>525</v>
      </c>
    </row>
    <row r="12" spans="1:3" ht="13.5" thickBot="1">
      <c r="A12" s="619">
        <v>37210</v>
      </c>
      <c r="B12" s="620" t="s">
        <v>521</v>
      </c>
      <c r="C12" s="621" t="s">
        <v>526</v>
      </c>
    </row>
    <row r="13" spans="1:3" ht="13.5" thickBot="1">
      <c r="A13" s="619">
        <v>37250</v>
      </c>
      <c r="B13" s="620" t="s">
        <v>515</v>
      </c>
      <c r="C13" s="621" t="s">
        <v>527</v>
      </c>
    </row>
    <row r="14" spans="1:3" ht="13.5" thickBot="1">
      <c r="A14" s="622">
        <v>37257</v>
      </c>
      <c r="B14" s="623" t="s">
        <v>515</v>
      </c>
      <c r="C14" s="624" t="s">
        <v>513</v>
      </c>
    </row>
    <row r="15" spans="1:3" ht="13.5" thickBot="1">
      <c r="A15" s="619">
        <v>37298</v>
      </c>
      <c r="B15" s="620" t="s">
        <v>512</v>
      </c>
      <c r="C15" s="621" t="s">
        <v>514</v>
      </c>
    </row>
    <row r="16" spans="1:3" ht="13.5" thickBot="1">
      <c r="A16" s="619">
        <v>37299</v>
      </c>
      <c r="B16" s="620" t="s">
        <v>515</v>
      </c>
      <c r="C16" s="621" t="s">
        <v>514</v>
      </c>
    </row>
    <row r="17" spans="1:3" ht="13.5" thickBot="1">
      <c r="A17" s="619">
        <v>37344</v>
      </c>
      <c r="B17" s="620" t="s">
        <v>516</v>
      </c>
      <c r="C17" s="621" t="s">
        <v>517</v>
      </c>
    </row>
    <row r="18" spans="1:3" ht="13.5" thickBot="1">
      <c r="A18" s="619">
        <v>37367</v>
      </c>
      <c r="B18" s="620" t="s">
        <v>528</v>
      </c>
      <c r="C18" s="621" t="s">
        <v>519</v>
      </c>
    </row>
    <row r="19" spans="1:3" ht="13.5" thickBot="1">
      <c r="A19" s="619">
        <v>37377</v>
      </c>
      <c r="B19" s="620" t="s">
        <v>529</v>
      </c>
      <c r="C19" s="621" t="s">
        <v>520</v>
      </c>
    </row>
    <row r="20" spans="1:3" ht="13.5" thickBot="1">
      <c r="A20" s="619">
        <v>37406</v>
      </c>
      <c r="B20" s="620" t="s">
        <v>521</v>
      </c>
      <c r="C20" s="621" t="s">
        <v>522</v>
      </c>
    </row>
    <row r="21" spans="1:3" ht="13.5" thickBot="1">
      <c r="A21" s="619">
        <v>37506</v>
      </c>
      <c r="B21" s="620" t="s">
        <v>518</v>
      </c>
      <c r="C21" s="621" t="s">
        <v>523</v>
      </c>
    </row>
    <row r="22" spans="1:3" ht="14.25" thickBot="1">
      <c r="A22" s="619">
        <v>37541</v>
      </c>
      <c r="B22" s="620" t="s">
        <v>518</v>
      </c>
      <c r="C22" s="621" t="s">
        <v>524</v>
      </c>
    </row>
    <row r="23" spans="1:3" ht="13.5" thickBot="1">
      <c r="A23" s="619">
        <v>37562</v>
      </c>
      <c r="B23" s="620" t="s">
        <v>518</v>
      </c>
      <c r="C23" s="621" t="s">
        <v>525</v>
      </c>
    </row>
    <row r="24" spans="1:3" ht="13.5" thickBot="1">
      <c r="A24" s="619">
        <v>37575</v>
      </c>
      <c r="B24" s="620" t="s">
        <v>516</v>
      </c>
      <c r="C24" s="621" t="s">
        <v>526</v>
      </c>
    </row>
    <row r="25" spans="1:3" ht="13.5" thickBot="1">
      <c r="A25" s="619">
        <v>37615</v>
      </c>
      <c r="B25" s="620" t="s">
        <v>529</v>
      </c>
      <c r="C25" s="621" t="s">
        <v>527</v>
      </c>
    </row>
    <row r="26" spans="1:3" ht="13.5" thickBot="1">
      <c r="A26" s="622">
        <v>37622</v>
      </c>
      <c r="B26" s="623" t="s">
        <v>529</v>
      </c>
      <c r="C26" s="624" t="s">
        <v>513</v>
      </c>
    </row>
    <row r="27" spans="1:3" ht="13.5" thickBot="1">
      <c r="A27" s="619">
        <v>37683</v>
      </c>
      <c r="B27" s="620" t="s">
        <v>512</v>
      </c>
      <c r="C27" s="621" t="s">
        <v>514</v>
      </c>
    </row>
    <row r="28" spans="1:3" ht="13.5" thickBot="1">
      <c r="A28" s="619">
        <v>37684</v>
      </c>
      <c r="B28" s="620" t="s">
        <v>515</v>
      </c>
      <c r="C28" s="621" t="s">
        <v>514</v>
      </c>
    </row>
    <row r="29" spans="1:3" ht="13.5" thickBot="1">
      <c r="A29" s="619">
        <v>37729</v>
      </c>
      <c r="B29" s="620" t="s">
        <v>516</v>
      </c>
      <c r="C29" s="621" t="s">
        <v>517</v>
      </c>
    </row>
    <row r="30" spans="1:3" ht="13.5" thickBot="1">
      <c r="A30" s="619">
        <v>37732</v>
      </c>
      <c r="B30" s="620" t="s">
        <v>512</v>
      </c>
      <c r="C30" s="621" t="s">
        <v>519</v>
      </c>
    </row>
    <row r="31" spans="1:3" ht="13.5" thickBot="1">
      <c r="A31" s="619">
        <v>37742</v>
      </c>
      <c r="B31" s="620" t="s">
        <v>521</v>
      </c>
      <c r="C31" s="621" t="s">
        <v>520</v>
      </c>
    </row>
    <row r="32" spans="1:3" ht="13.5" thickBot="1">
      <c r="A32" s="619">
        <v>37791</v>
      </c>
      <c r="B32" s="620" t="s">
        <v>521</v>
      </c>
      <c r="C32" s="621" t="s">
        <v>522</v>
      </c>
    </row>
    <row r="33" spans="1:3" ht="13.5" thickBot="1">
      <c r="A33" s="619">
        <v>37871</v>
      </c>
      <c r="B33" s="620" t="s">
        <v>528</v>
      </c>
      <c r="C33" s="621" t="s">
        <v>523</v>
      </c>
    </row>
    <row r="34" spans="1:3" ht="14.25" thickBot="1">
      <c r="A34" s="619">
        <v>37906</v>
      </c>
      <c r="B34" s="620" t="s">
        <v>528</v>
      </c>
      <c r="C34" s="621" t="s">
        <v>524</v>
      </c>
    </row>
    <row r="35" spans="1:3" ht="13.5" thickBot="1">
      <c r="A35" s="619">
        <v>37927</v>
      </c>
      <c r="B35" s="620" t="s">
        <v>528</v>
      </c>
      <c r="C35" s="621" t="s">
        <v>525</v>
      </c>
    </row>
    <row r="36" spans="1:3" ht="13.5" thickBot="1">
      <c r="A36" s="619">
        <v>37940</v>
      </c>
      <c r="B36" s="620" t="s">
        <v>518</v>
      </c>
      <c r="C36" s="621" t="s">
        <v>526</v>
      </c>
    </row>
    <row r="37" spans="1:3" ht="13.5" thickBot="1">
      <c r="A37" s="619">
        <v>37980</v>
      </c>
      <c r="B37" s="620" t="s">
        <v>521</v>
      </c>
      <c r="C37" s="621" t="s">
        <v>527</v>
      </c>
    </row>
    <row r="38" spans="1:3" ht="13.5" thickBot="1">
      <c r="A38" s="622">
        <v>37987</v>
      </c>
      <c r="B38" s="623" t="s">
        <v>521</v>
      </c>
      <c r="C38" s="624" t="s">
        <v>513</v>
      </c>
    </row>
    <row r="39" spans="1:3" ht="13.5" thickBot="1">
      <c r="A39" s="619">
        <v>38040</v>
      </c>
      <c r="B39" s="620" t="s">
        <v>512</v>
      </c>
      <c r="C39" s="621" t="s">
        <v>514</v>
      </c>
    </row>
    <row r="40" spans="1:3" ht="13.5" thickBot="1">
      <c r="A40" s="619">
        <v>38041</v>
      </c>
      <c r="B40" s="620" t="s">
        <v>515</v>
      </c>
      <c r="C40" s="621" t="s">
        <v>514</v>
      </c>
    </row>
    <row r="41" spans="1:3" ht="13.5" thickBot="1">
      <c r="A41" s="619">
        <v>38086</v>
      </c>
      <c r="B41" s="620" t="s">
        <v>516</v>
      </c>
      <c r="C41" s="621" t="s">
        <v>517</v>
      </c>
    </row>
    <row r="42" spans="1:3" ht="13.5" thickBot="1">
      <c r="A42" s="619">
        <v>38098</v>
      </c>
      <c r="B42" s="620" t="s">
        <v>529</v>
      </c>
      <c r="C42" s="621" t="s">
        <v>519</v>
      </c>
    </row>
    <row r="43" spans="1:3" ht="13.5" thickBot="1">
      <c r="A43" s="619">
        <v>38108</v>
      </c>
      <c r="B43" s="620" t="s">
        <v>518</v>
      </c>
      <c r="C43" s="621" t="s">
        <v>520</v>
      </c>
    </row>
    <row r="44" spans="1:3" ht="13.5" thickBot="1">
      <c r="A44" s="619">
        <v>38148</v>
      </c>
      <c r="B44" s="620" t="s">
        <v>521</v>
      </c>
      <c r="C44" s="621" t="s">
        <v>522</v>
      </c>
    </row>
    <row r="45" spans="1:3" ht="13.5" thickBot="1">
      <c r="A45" s="619">
        <v>38237</v>
      </c>
      <c r="B45" s="620" t="s">
        <v>515</v>
      </c>
      <c r="C45" s="621" t="s">
        <v>523</v>
      </c>
    </row>
    <row r="46" spans="1:3" ht="14.25" thickBot="1">
      <c r="A46" s="619">
        <v>38272</v>
      </c>
      <c r="B46" s="620" t="s">
        <v>515</v>
      </c>
      <c r="C46" s="621" t="s">
        <v>524</v>
      </c>
    </row>
    <row r="47" spans="1:3" ht="13.5" thickBot="1">
      <c r="A47" s="619">
        <v>38293</v>
      </c>
      <c r="B47" s="620" t="s">
        <v>515</v>
      </c>
      <c r="C47" s="621" t="s">
        <v>525</v>
      </c>
    </row>
    <row r="48" spans="1:3" ht="13.5" thickBot="1">
      <c r="A48" s="619">
        <v>38306</v>
      </c>
      <c r="B48" s="620" t="s">
        <v>512</v>
      </c>
      <c r="C48" s="621" t="s">
        <v>526</v>
      </c>
    </row>
    <row r="49" spans="1:3" ht="13.5" thickBot="1">
      <c r="A49" s="619">
        <v>38346</v>
      </c>
      <c r="B49" s="620" t="s">
        <v>518</v>
      </c>
      <c r="C49" s="621" t="s">
        <v>527</v>
      </c>
    </row>
    <row r="50" spans="1:3" ht="13.5" thickBot="1">
      <c r="A50" s="622">
        <v>38353</v>
      </c>
      <c r="B50" s="623" t="s">
        <v>518</v>
      </c>
      <c r="C50" s="624" t="s">
        <v>513</v>
      </c>
    </row>
    <row r="51" spans="1:3" ht="13.5" thickBot="1">
      <c r="A51" s="619">
        <v>38390</v>
      </c>
      <c r="B51" s="620" t="s">
        <v>512</v>
      </c>
      <c r="C51" s="621" t="s">
        <v>514</v>
      </c>
    </row>
    <row r="52" spans="1:3" ht="13.5" thickBot="1">
      <c r="A52" s="619">
        <v>38391</v>
      </c>
      <c r="B52" s="620" t="s">
        <v>515</v>
      </c>
      <c r="C52" s="621" t="s">
        <v>514</v>
      </c>
    </row>
    <row r="53" spans="1:3" ht="13.5" thickBot="1">
      <c r="A53" s="619">
        <v>38436</v>
      </c>
      <c r="B53" s="620" t="s">
        <v>516</v>
      </c>
      <c r="C53" s="621" t="s">
        <v>517</v>
      </c>
    </row>
    <row r="54" spans="1:3" ht="13.5" thickBot="1">
      <c r="A54" s="619">
        <v>38463</v>
      </c>
      <c r="B54" s="620" t="s">
        <v>521</v>
      </c>
      <c r="C54" s="621" t="s">
        <v>519</v>
      </c>
    </row>
    <row r="55" spans="1:3" ht="13.5" thickBot="1">
      <c r="A55" s="619">
        <v>38473</v>
      </c>
      <c r="B55" s="620" t="s">
        <v>528</v>
      </c>
      <c r="C55" s="621" t="s">
        <v>520</v>
      </c>
    </row>
    <row r="56" spans="1:3" ht="13.5" thickBot="1">
      <c r="A56" s="619">
        <v>38498</v>
      </c>
      <c r="B56" s="620" t="s">
        <v>521</v>
      </c>
      <c r="C56" s="621" t="s">
        <v>522</v>
      </c>
    </row>
    <row r="57" spans="1:3" ht="13.5" thickBot="1">
      <c r="A57" s="619">
        <v>38602</v>
      </c>
      <c r="B57" s="620" t="s">
        <v>529</v>
      </c>
      <c r="C57" s="621" t="s">
        <v>523</v>
      </c>
    </row>
    <row r="58" spans="1:3" ht="14.25" thickBot="1">
      <c r="A58" s="619">
        <v>38637</v>
      </c>
      <c r="B58" s="620" t="s">
        <v>529</v>
      </c>
      <c r="C58" s="621" t="s">
        <v>524</v>
      </c>
    </row>
    <row r="59" spans="1:3" ht="13.5" thickBot="1">
      <c r="A59" s="619">
        <v>38658</v>
      </c>
      <c r="B59" s="620" t="s">
        <v>529</v>
      </c>
      <c r="C59" s="621" t="s">
        <v>525</v>
      </c>
    </row>
    <row r="60" spans="1:3" ht="13.5" thickBot="1">
      <c r="A60" s="619">
        <v>38671</v>
      </c>
      <c r="B60" s="620" t="s">
        <v>515</v>
      </c>
      <c r="C60" s="621" t="s">
        <v>526</v>
      </c>
    </row>
    <row r="61" spans="1:3" ht="13.5" thickBot="1">
      <c r="A61" s="619">
        <v>38711</v>
      </c>
      <c r="B61" s="620" t="s">
        <v>528</v>
      </c>
      <c r="C61" s="621" t="s">
        <v>527</v>
      </c>
    </row>
    <row r="62" spans="1:3" ht="13.5" thickBot="1">
      <c r="A62" s="622">
        <v>38718</v>
      </c>
      <c r="B62" s="623" t="s">
        <v>528</v>
      </c>
      <c r="C62" s="624" t="s">
        <v>513</v>
      </c>
    </row>
    <row r="63" spans="1:3" ht="13.5" thickBot="1">
      <c r="A63" s="619">
        <v>38775</v>
      </c>
      <c r="B63" s="620" t="s">
        <v>512</v>
      </c>
      <c r="C63" s="621" t="s">
        <v>514</v>
      </c>
    </row>
    <row r="64" spans="1:3" ht="13.5" thickBot="1">
      <c r="A64" s="619">
        <v>38776</v>
      </c>
      <c r="B64" s="620" t="s">
        <v>515</v>
      </c>
      <c r="C64" s="621" t="s">
        <v>514</v>
      </c>
    </row>
    <row r="65" spans="1:3" ht="13.5" thickBot="1">
      <c r="A65" s="619">
        <v>38821</v>
      </c>
      <c r="B65" s="620" t="s">
        <v>516</v>
      </c>
      <c r="C65" s="621" t="s">
        <v>517</v>
      </c>
    </row>
    <row r="66" spans="1:3" ht="13.5" thickBot="1">
      <c r="A66" s="619">
        <v>38828</v>
      </c>
      <c r="B66" s="620" t="s">
        <v>516</v>
      </c>
      <c r="C66" s="621" t="s">
        <v>519</v>
      </c>
    </row>
    <row r="67" spans="1:3" ht="13.5" thickBot="1">
      <c r="A67" s="619">
        <v>38838</v>
      </c>
      <c r="B67" s="620" t="s">
        <v>512</v>
      </c>
      <c r="C67" s="621" t="s">
        <v>520</v>
      </c>
    </row>
    <row r="68" spans="1:3" ht="13.5" thickBot="1">
      <c r="A68" s="619">
        <v>38883</v>
      </c>
      <c r="B68" s="620" t="s">
        <v>521</v>
      </c>
      <c r="C68" s="621" t="s">
        <v>522</v>
      </c>
    </row>
    <row r="69" spans="1:3" ht="13.5" thickBot="1">
      <c r="A69" s="619">
        <v>38967</v>
      </c>
      <c r="B69" s="620" t="s">
        <v>521</v>
      </c>
      <c r="C69" s="621" t="s">
        <v>523</v>
      </c>
    </row>
    <row r="70" spans="1:3" ht="14.25" thickBot="1">
      <c r="A70" s="619">
        <v>39002</v>
      </c>
      <c r="B70" s="620" t="s">
        <v>521</v>
      </c>
      <c r="C70" s="621" t="s">
        <v>524</v>
      </c>
    </row>
    <row r="71" spans="1:3" ht="13.5" thickBot="1">
      <c r="A71" s="619">
        <v>39023</v>
      </c>
      <c r="B71" s="620" t="s">
        <v>521</v>
      </c>
      <c r="C71" s="621" t="s">
        <v>525</v>
      </c>
    </row>
    <row r="72" spans="1:3" ht="13.5" thickBot="1">
      <c r="A72" s="619">
        <v>39036</v>
      </c>
      <c r="B72" s="620" t="s">
        <v>529</v>
      </c>
      <c r="C72" s="621" t="s">
        <v>526</v>
      </c>
    </row>
    <row r="73" spans="1:3" ht="13.5" thickBot="1">
      <c r="A73" s="619">
        <v>39076</v>
      </c>
      <c r="B73" s="620" t="s">
        <v>512</v>
      </c>
      <c r="C73" s="621" t="s">
        <v>527</v>
      </c>
    </row>
    <row r="74" spans="1:3" ht="13.5" thickBot="1">
      <c r="A74" s="622">
        <v>39083</v>
      </c>
      <c r="B74" s="623" t="s">
        <v>512</v>
      </c>
      <c r="C74" s="624" t="s">
        <v>513</v>
      </c>
    </row>
    <row r="75" spans="1:3" ht="13.5" thickBot="1">
      <c r="A75" s="619">
        <v>39132</v>
      </c>
      <c r="B75" s="620" t="s">
        <v>512</v>
      </c>
      <c r="C75" s="621" t="s">
        <v>514</v>
      </c>
    </row>
    <row r="76" spans="1:3" ht="13.5" thickBot="1">
      <c r="A76" s="619">
        <v>39133</v>
      </c>
      <c r="B76" s="620" t="s">
        <v>515</v>
      </c>
      <c r="C76" s="621" t="s">
        <v>514</v>
      </c>
    </row>
    <row r="77" spans="1:3" ht="13.5" thickBot="1">
      <c r="A77" s="619">
        <v>39178</v>
      </c>
      <c r="B77" s="620" t="s">
        <v>516</v>
      </c>
      <c r="C77" s="621" t="s">
        <v>517</v>
      </c>
    </row>
    <row r="78" spans="1:3" ht="13.5" thickBot="1">
      <c r="A78" s="619">
        <v>39193</v>
      </c>
      <c r="B78" s="620" t="s">
        <v>518</v>
      </c>
      <c r="C78" s="621" t="s">
        <v>519</v>
      </c>
    </row>
    <row r="79" spans="1:3" ht="13.5" thickBot="1">
      <c r="A79" s="619">
        <v>39203</v>
      </c>
      <c r="B79" s="620" t="s">
        <v>515</v>
      </c>
      <c r="C79" s="621" t="s">
        <v>520</v>
      </c>
    </row>
    <row r="80" spans="1:3" ht="13.5" thickBot="1">
      <c r="A80" s="619">
        <v>39240</v>
      </c>
      <c r="B80" s="620" t="s">
        <v>521</v>
      </c>
      <c r="C80" s="621" t="s">
        <v>522</v>
      </c>
    </row>
    <row r="81" spans="1:3" ht="13.5" thickBot="1">
      <c r="A81" s="619">
        <v>39332</v>
      </c>
      <c r="B81" s="620" t="s">
        <v>516</v>
      </c>
      <c r="C81" s="621" t="s">
        <v>523</v>
      </c>
    </row>
    <row r="82" spans="1:3" ht="14.25" thickBot="1">
      <c r="A82" s="619">
        <v>39367</v>
      </c>
      <c r="B82" s="620" t="s">
        <v>516</v>
      </c>
      <c r="C82" s="621" t="s">
        <v>524</v>
      </c>
    </row>
    <row r="83" spans="1:3" ht="13.5" thickBot="1">
      <c r="A83" s="619">
        <v>39388</v>
      </c>
      <c r="B83" s="620" t="s">
        <v>516</v>
      </c>
      <c r="C83" s="621" t="s">
        <v>525</v>
      </c>
    </row>
    <row r="84" spans="1:3" ht="13.5" thickBot="1">
      <c r="A84" s="619">
        <v>39401</v>
      </c>
      <c r="B84" s="620" t="s">
        <v>521</v>
      </c>
      <c r="C84" s="621" t="s">
        <v>526</v>
      </c>
    </row>
    <row r="85" spans="1:3" ht="13.5" thickBot="1">
      <c r="A85" s="619">
        <v>39441</v>
      </c>
      <c r="B85" s="620" t="s">
        <v>515</v>
      </c>
      <c r="C85" s="621" t="s">
        <v>527</v>
      </c>
    </row>
    <row r="86" spans="1:3" ht="13.5" thickBot="1">
      <c r="A86" s="622">
        <v>39448</v>
      </c>
      <c r="B86" s="623" t="s">
        <v>515</v>
      </c>
      <c r="C86" s="624" t="s">
        <v>513</v>
      </c>
    </row>
    <row r="87" spans="1:3" ht="13.5" thickBot="1">
      <c r="A87" s="619">
        <v>39482</v>
      </c>
      <c r="B87" s="620" t="s">
        <v>512</v>
      </c>
      <c r="C87" s="621" t="s">
        <v>514</v>
      </c>
    </row>
    <row r="88" spans="1:3" ht="13.5" thickBot="1">
      <c r="A88" s="619">
        <v>39483</v>
      </c>
      <c r="B88" s="620" t="s">
        <v>515</v>
      </c>
      <c r="C88" s="621" t="s">
        <v>514</v>
      </c>
    </row>
    <row r="89" spans="1:3" ht="13.5" thickBot="1">
      <c r="A89" s="619">
        <v>39528</v>
      </c>
      <c r="B89" s="620" t="s">
        <v>516</v>
      </c>
      <c r="C89" s="621" t="s">
        <v>517</v>
      </c>
    </row>
    <row r="90" spans="1:3" ht="13.5" thickBot="1">
      <c r="A90" s="619">
        <v>39559</v>
      </c>
      <c r="B90" s="620" t="s">
        <v>512</v>
      </c>
      <c r="C90" s="621" t="s">
        <v>519</v>
      </c>
    </row>
    <row r="91" spans="1:3" ht="13.5" thickBot="1">
      <c r="A91" s="619">
        <v>39569</v>
      </c>
      <c r="B91" s="620" t="s">
        <v>521</v>
      </c>
      <c r="C91" s="621" t="s">
        <v>520</v>
      </c>
    </row>
    <row r="92" spans="1:3" ht="13.5" thickBot="1">
      <c r="A92" s="619">
        <v>39590</v>
      </c>
      <c r="B92" s="620" t="s">
        <v>521</v>
      </c>
      <c r="C92" s="621" t="s">
        <v>522</v>
      </c>
    </row>
    <row r="93" spans="1:3" ht="13.5" thickBot="1">
      <c r="A93" s="619">
        <v>39698</v>
      </c>
      <c r="B93" s="620" t="s">
        <v>528</v>
      </c>
      <c r="C93" s="621" t="s">
        <v>523</v>
      </c>
    </row>
    <row r="94" spans="1:3" ht="14.25" thickBot="1">
      <c r="A94" s="619">
        <v>39733</v>
      </c>
      <c r="B94" s="620" t="s">
        <v>528</v>
      </c>
      <c r="C94" s="621" t="s">
        <v>524</v>
      </c>
    </row>
    <row r="95" spans="1:3" ht="13.5" thickBot="1">
      <c r="A95" s="619">
        <v>39754</v>
      </c>
      <c r="B95" s="620" t="s">
        <v>528</v>
      </c>
      <c r="C95" s="621" t="s">
        <v>525</v>
      </c>
    </row>
    <row r="96" spans="1:3" ht="13.5" thickBot="1">
      <c r="A96" s="619">
        <v>39767</v>
      </c>
      <c r="B96" s="620" t="s">
        <v>518</v>
      </c>
      <c r="C96" s="621" t="s">
        <v>526</v>
      </c>
    </row>
    <row r="97" spans="1:3" ht="13.5" thickBot="1">
      <c r="A97" s="619">
        <v>39807</v>
      </c>
      <c r="B97" s="620" t="s">
        <v>521</v>
      </c>
      <c r="C97" s="621" t="s">
        <v>527</v>
      </c>
    </row>
    <row r="98" spans="1:3" ht="13.5" thickBot="1">
      <c r="A98" s="622">
        <v>39814</v>
      </c>
      <c r="B98" s="623" t="s">
        <v>521</v>
      </c>
      <c r="C98" s="624" t="s">
        <v>513</v>
      </c>
    </row>
    <row r="99" spans="1:3" ht="13.5" thickBot="1">
      <c r="A99" s="619">
        <v>39867</v>
      </c>
      <c r="B99" s="620" t="s">
        <v>512</v>
      </c>
      <c r="C99" s="621" t="s">
        <v>514</v>
      </c>
    </row>
    <row r="100" spans="1:3" ht="13.5" thickBot="1">
      <c r="A100" s="619">
        <v>39868</v>
      </c>
      <c r="B100" s="620" t="s">
        <v>515</v>
      </c>
      <c r="C100" s="621" t="s">
        <v>514</v>
      </c>
    </row>
    <row r="101" spans="1:3" ht="13.5" thickBot="1">
      <c r="A101" s="619">
        <v>39913</v>
      </c>
      <c r="B101" s="620" t="s">
        <v>516</v>
      </c>
      <c r="C101" s="621" t="s">
        <v>517</v>
      </c>
    </row>
    <row r="102" spans="1:3" ht="13.5" thickBot="1">
      <c r="A102" s="619">
        <v>39924</v>
      </c>
      <c r="B102" s="620" t="s">
        <v>515</v>
      </c>
      <c r="C102" s="621" t="s">
        <v>519</v>
      </c>
    </row>
    <row r="103" spans="1:3" ht="13.5" thickBot="1">
      <c r="A103" s="619">
        <v>39934</v>
      </c>
      <c r="B103" s="620" t="s">
        <v>516</v>
      </c>
      <c r="C103" s="621" t="s">
        <v>520</v>
      </c>
    </row>
    <row r="104" spans="1:3" ht="13.5" thickBot="1">
      <c r="A104" s="619">
        <v>39975</v>
      </c>
      <c r="B104" s="620" t="s">
        <v>521</v>
      </c>
      <c r="C104" s="621" t="s">
        <v>522</v>
      </c>
    </row>
    <row r="105" spans="1:3" ht="13.5" thickBot="1">
      <c r="A105" s="619">
        <v>40063</v>
      </c>
      <c r="B105" s="620" t="s">
        <v>512</v>
      </c>
      <c r="C105" s="621" t="s">
        <v>523</v>
      </c>
    </row>
    <row r="106" spans="1:3" ht="14.25" thickBot="1">
      <c r="A106" s="619">
        <v>40098</v>
      </c>
      <c r="B106" s="620" t="s">
        <v>512</v>
      </c>
      <c r="C106" s="621" t="s">
        <v>524</v>
      </c>
    </row>
    <row r="107" spans="1:3" ht="13.5" thickBot="1">
      <c r="A107" s="619">
        <v>40119</v>
      </c>
      <c r="B107" s="620" t="s">
        <v>512</v>
      </c>
      <c r="C107" s="621" t="s">
        <v>525</v>
      </c>
    </row>
    <row r="108" spans="1:3" ht="13.5" thickBot="1">
      <c r="A108" s="619">
        <v>40132</v>
      </c>
      <c r="B108" s="620" t="s">
        <v>528</v>
      </c>
      <c r="C108" s="621" t="s">
        <v>526</v>
      </c>
    </row>
    <row r="109" spans="1:3" ht="13.5" thickBot="1">
      <c r="A109" s="619">
        <v>40172</v>
      </c>
      <c r="B109" s="620" t="s">
        <v>516</v>
      </c>
      <c r="C109" s="621" t="s">
        <v>527</v>
      </c>
    </row>
    <row r="110" spans="1:3" ht="13.5" thickBot="1">
      <c r="A110" s="622">
        <v>40179</v>
      </c>
      <c r="B110" s="623" t="s">
        <v>516</v>
      </c>
      <c r="C110" s="624" t="s">
        <v>513</v>
      </c>
    </row>
    <row r="111" spans="1:3" ht="13.5" thickBot="1">
      <c r="A111" s="619">
        <v>40224</v>
      </c>
      <c r="B111" s="620" t="s">
        <v>512</v>
      </c>
      <c r="C111" s="621" t="s">
        <v>514</v>
      </c>
    </row>
    <row r="112" spans="1:3" ht="13.5" thickBot="1">
      <c r="A112" s="619">
        <v>40225</v>
      </c>
      <c r="B112" s="620" t="s">
        <v>515</v>
      </c>
      <c r="C112" s="621" t="s">
        <v>514</v>
      </c>
    </row>
    <row r="113" spans="1:3" ht="13.5" thickBot="1">
      <c r="A113" s="619">
        <v>40270</v>
      </c>
      <c r="B113" s="620" t="s">
        <v>516</v>
      </c>
      <c r="C113" s="621" t="s">
        <v>517</v>
      </c>
    </row>
    <row r="114" spans="1:3" ht="13.5" thickBot="1">
      <c r="A114" s="619">
        <v>40289</v>
      </c>
      <c r="B114" s="620" t="s">
        <v>529</v>
      </c>
      <c r="C114" s="621" t="s">
        <v>519</v>
      </c>
    </row>
    <row r="115" spans="1:3" ht="13.5" thickBot="1">
      <c r="A115" s="619">
        <v>40299</v>
      </c>
      <c r="B115" s="620" t="s">
        <v>518</v>
      </c>
      <c r="C115" s="621" t="s">
        <v>520</v>
      </c>
    </row>
    <row r="116" spans="1:3" ht="13.5" thickBot="1">
      <c r="A116" s="619">
        <v>40332</v>
      </c>
      <c r="B116" s="620" t="s">
        <v>521</v>
      </c>
      <c r="C116" s="621" t="s">
        <v>522</v>
      </c>
    </row>
    <row r="117" spans="1:3" ht="13.5" thickBot="1">
      <c r="A117" s="619">
        <v>40428</v>
      </c>
      <c r="B117" s="620" t="s">
        <v>515</v>
      </c>
      <c r="C117" s="621" t="s">
        <v>523</v>
      </c>
    </row>
    <row r="118" spans="1:3" ht="14.25" thickBot="1">
      <c r="A118" s="619">
        <v>40463</v>
      </c>
      <c r="B118" s="620" t="s">
        <v>515</v>
      </c>
      <c r="C118" s="621" t="s">
        <v>524</v>
      </c>
    </row>
    <row r="119" spans="1:3" ht="13.5" thickBot="1">
      <c r="A119" s="619">
        <v>40484</v>
      </c>
      <c r="B119" s="620" t="s">
        <v>515</v>
      </c>
      <c r="C119" s="621" t="s">
        <v>525</v>
      </c>
    </row>
    <row r="120" spans="1:3" ht="13.5" thickBot="1">
      <c r="A120" s="619">
        <v>40497</v>
      </c>
      <c r="B120" s="620" t="s">
        <v>512</v>
      </c>
      <c r="C120" s="621" t="s">
        <v>526</v>
      </c>
    </row>
    <row r="121" spans="1:3" ht="13.5" thickBot="1">
      <c r="A121" s="619">
        <v>40537</v>
      </c>
      <c r="B121" s="620" t="s">
        <v>518</v>
      </c>
      <c r="C121" s="621" t="s">
        <v>527</v>
      </c>
    </row>
    <row r="122" spans="1:3" ht="13.5" thickBot="1">
      <c r="A122" s="622">
        <v>40544</v>
      </c>
      <c r="B122" s="623" t="s">
        <v>518</v>
      </c>
      <c r="C122" s="624" t="s">
        <v>513</v>
      </c>
    </row>
    <row r="123" spans="1:3" ht="13.5" thickBot="1">
      <c r="A123" s="619">
        <v>40609</v>
      </c>
      <c r="B123" s="620" t="s">
        <v>512</v>
      </c>
      <c r="C123" s="621" t="s">
        <v>514</v>
      </c>
    </row>
    <row r="124" spans="1:3" ht="13.5" thickBot="1">
      <c r="A124" s="619">
        <v>40610</v>
      </c>
      <c r="B124" s="620" t="s">
        <v>515</v>
      </c>
      <c r="C124" s="621" t="s">
        <v>514</v>
      </c>
    </row>
    <row r="125" spans="1:3" ht="13.5" thickBot="1">
      <c r="A125" s="619">
        <v>40654</v>
      </c>
      <c r="B125" s="620" t="s">
        <v>521</v>
      </c>
      <c r="C125" s="621" t="s">
        <v>517</v>
      </c>
    </row>
    <row r="126" spans="1:3" ht="13.5" thickBot="1">
      <c r="A126" s="619">
        <v>40655</v>
      </c>
      <c r="B126" s="620" t="s">
        <v>516</v>
      </c>
      <c r="C126" s="621" t="s">
        <v>519</v>
      </c>
    </row>
    <row r="127" spans="1:3" ht="13.5" thickBot="1">
      <c r="A127" s="619">
        <v>40664</v>
      </c>
      <c r="B127" s="620" t="s">
        <v>528</v>
      </c>
      <c r="C127" s="621" t="s">
        <v>520</v>
      </c>
    </row>
    <row r="128" spans="1:3" ht="13.5" thickBot="1">
      <c r="A128" s="619">
        <v>40717</v>
      </c>
      <c r="B128" s="620" t="s">
        <v>521</v>
      </c>
      <c r="C128" s="621" t="s">
        <v>522</v>
      </c>
    </row>
    <row r="129" spans="1:3" ht="13.5" thickBot="1">
      <c r="A129" s="619">
        <v>40793</v>
      </c>
      <c r="B129" s="620" t="s">
        <v>529</v>
      </c>
      <c r="C129" s="621" t="s">
        <v>523</v>
      </c>
    </row>
    <row r="130" spans="1:3" ht="14.25" thickBot="1">
      <c r="A130" s="619">
        <v>40828</v>
      </c>
      <c r="B130" s="620" t="s">
        <v>529</v>
      </c>
      <c r="C130" s="621" t="s">
        <v>524</v>
      </c>
    </row>
    <row r="131" spans="1:3" ht="13.5" thickBot="1">
      <c r="A131" s="619">
        <v>40849</v>
      </c>
      <c r="B131" s="620" t="s">
        <v>529</v>
      </c>
      <c r="C131" s="621" t="s">
        <v>525</v>
      </c>
    </row>
    <row r="132" spans="1:3" ht="13.5" thickBot="1">
      <c r="A132" s="619">
        <v>40862</v>
      </c>
      <c r="B132" s="620" t="s">
        <v>515</v>
      </c>
      <c r="C132" s="621" t="s">
        <v>526</v>
      </c>
    </row>
    <row r="133" spans="1:3" ht="13.5" thickBot="1">
      <c r="A133" s="619">
        <v>40902</v>
      </c>
      <c r="B133" s="620" t="s">
        <v>528</v>
      </c>
      <c r="C133" s="621" t="s">
        <v>527</v>
      </c>
    </row>
    <row r="134" spans="1:3" ht="13.5" thickBot="1">
      <c r="A134" s="622">
        <v>40909</v>
      </c>
      <c r="B134" s="623" t="s">
        <v>528</v>
      </c>
      <c r="C134" s="624" t="s">
        <v>513</v>
      </c>
    </row>
    <row r="135" spans="1:3" ht="13.5" thickBot="1">
      <c r="A135" s="619">
        <v>40959</v>
      </c>
      <c r="B135" s="620" t="s">
        <v>512</v>
      </c>
      <c r="C135" s="621" t="s">
        <v>514</v>
      </c>
    </row>
    <row r="136" spans="1:3" ht="13.5" thickBot="1">
      <c r="A136" s="619">
        <v>40960</v>
      </c>
      <c r="B136" s="620" t="s">
        <v>515</v>
      </c>
      <c r="C136" s="621" t="s">
        <v>514</v>
      </c>
    </row>
    <row r="137" spans="1:3" ht="13.5" thickBot="1">
      <c r="A137" s="619">
        <v>41005</v>
      </c>
      <c r="B137" s="620" t="s">
        <v>516</v>
      </c>
      <c r="C137" s="621" t="s">
        <v>517</v>
      </c>
    </row>
    <row r="138" spans="1:3" ht="13.5" thickBot="1">
      <c r="A138" s="619">
        <v>41020</v>
      </c>
      <c r="B138" s="620" t="s">
        <v>518</v>
      </c>
      <c r="C138" s="621" t="s">
        <v>519</v>
      </c>
    </row>
    <row r="139" spans="1:3" ht="13.5" thickBot="1">
      <c r="A139" s="619">
        <v>41030</v>
      </c>
      <c r="B139" s="620" t="s">
        <v>515</v>
      </c>
      <c r="C139" s="621" t="s">
        <v>520</v>
      </c>
    </row>
    <row r="140" spans="1:3" ht="13.5" thickBot="1">
      <c r="A140" s="619">
        <v>41067</v>
      </c>
      <c r="B140" s="620" t="s">
        <v>521</v>
      </c>
      <c r="C140" s="621" t="s">
        <v>522</v>
      </c>
    </row>
    <row r="141" spans="1:3" ht="13.5" thickBot="1">
      <c r="A141" s="619">
        <v>41159</v>
      </c>
      <c r="B141" s="620" t="s">
        <v>516</v>
      </c>
      <c r="C141" s="621" t="s">
        <v>523</v>
      </c>
    </row>
    <row r="142" spans="1:3" ht="14.25" thickBot="1">
      <c r="A142" s="619">
        <v>41194</v>
      </c>
      <c r="B142" s="620" t="s">
        <v>516</v>
      </c>
      <c r="C142" s="621" t="s">
        <v>524</v>
      </c>
    </row>
    <row r="143" spans="1:3" ht="13.5" thickBot="1">
      <c r="A143" s="619">
        <v>41215</v>
      </c>
      <c r="B143" s="620" t="s">
        <v>516</v>
      </c>
      <c r="C143" s="621" t="s">
        <v>525</v>
      </c>
    </row>
    <row r="144" spans="1:3" ht="13.5" thickBot="1">
      <c r="A144" s="619">
        <v>41228</v>
      </c>
      <c r="B144" s="620" t="s">
        <v>521</v>
      </c>
      <c r="C144" s="621" t="s">
        <v>526</v>
      </c>
    </row>
    <row r="145" spans="1:3" ht="13.5" thickBot="1">
      <c r="A145" s="619">
        <v>41268</v>
      </c>
      <c r="B145" s="620" t="s">
        <v>515</v>
      </c>
      <c r="C145" s="621" t="s">
        <v>527</v>
      </c>
    </row>
    <row r="146" spans="1:3" ht="13.5" thickBot="1">
      <c r="A146" s="622">
        <v>41275</v>
      </c>
      <c r="B146" s="623" t="s">
        <v>515</v>
      </c>
      <c r="C146" s="624" t="s">
        <v>513</v>
      </c>
    </row>
    <row r="147" spans="1:3" ht="13.5" thickBot="1">
      <c r="A147" s="619">
        <v>41316</v>
      </c>
      <c r="B147" s="620" t="s">
        <v>512</v>
      </c>
      <c r="C147" s="621" t="s">
        <v>514</v>
      </c>
    </row>
    <row r="148" spans="1:3" ht="13.5" thickBot="1">
      <c r="A148" s="619">
        <v>41317</v>
      </c>
      <c r="B148" s="620" t="s">
        <v>515</v>
      </c>
      <c r="C148" s="621" t="s">
        <v>514</v>
      </c>
    </row>
    <row r="149" spans="1:3" ht="13.5" thickBot="1">
      <c r="A149" s="619">
        <v>41362</v>
      </c>
      <c r="B149" s="620" t="s">
        <v>516</v>
      </c>
      <c r="C149" s="621" t="s">
        <v>517</v>
      </c>
    </row>
    <row r="150" spans="1:3" ht="13.5" thickBot="1">
      <c r="A150" s="619">
        <v>41385</v>
      </c>
      <c r="B150" s="620" t="s">
        <v>528</v>
      </c>
      <c r="C150" s="621" t="s">
        <v>519</v>
      </c>
    </row>
    <row r="151" spans="1:3" ht="13.5" thickBot="1">
      <c r="A151" s="619">
        <v>41395</v>
      </c>
      <c r="B151" s="620" t="s">
        <v>529</v>
      </c>
      <c r="C151" s="621" t="s">
        <v>520</v>
      </c>
    </row>
    <row r="152" spans="1:3" ht="13.5" thickBot="1">
      <c r="A152" s="619">
        <v>41424</v>
      </c>
      <c r="B152" s="620" t="s">
        <v>521</v>
      </c>
      <c r="C152" s="621" t="s">
        <v>522</v>
      </c>
    </row>
    <row r="153" spans="1:3" ht="13.5" thickBot="1">
      <c r="A153" s="619">
        <v>41524</v>
      </c>
      <c r="B153" s="620" t="s">
        <v>518</v>
      </c>
      <c r="C153" s="621" t="s">
        <v>523</v>
      </c>
    </row>
    <row r="154" spans="1:3" ht="14.25" thickBot="1">
      <c r="A154" s="619">
        <v>41559</v>
      </c>
      <c r="B154" s="620" t="s">
        <v>518</v>
      </c>
      <c r="C154" s="621" t="s">
        <v>524</v>
      </c>
    </row>
    <row r="155" spans="1:3" ht="13.5" thickBot="1">
      <c r="A155" s="619">
        <v>41580</v>
      </c>
      <c r="B155" s="620" t="s">
        <v>518</v>
      </c>
      <c r="C155" s="621" t="s">
        <v>525</v>
      </c>
    </row>
    <row r="156" spans="1:3" ht="13.5" thickBot="1">
      <c r="A156" s="619">
        <v>41593</v>
      </c>
      <c r="B156" s="620" t="s">
        <v>516</v>
      </c>
      <c r="C156" s="621" t="s">
        <v>526</v>
      </c>
    </row>
    <row r="157" spans="1:3" ht="13.5" thickBot="1">
      <c r="A157" s="619">
        <v>41633</v>
      </c>
      <c r="B157" s="620" t="s">
        <v>529</v>
      </c>
      <c r="C157" s="621" t="s">
        <v>527</v>
      </c>
    </row>
    <row r="158" spans="1:3" ht="13.5" thickBot="1">
      <c r="A158" s="622">
        <v>41640</v>
      </c>
      <c r="B158" s="623" t="s">
        <v>529</v>
      </c>
      <c r="C158" s="624" t="s">
        <v>513</v>
      </c>
    </row>
    <row r="159" spans="1:3" ht="13.5" thickBot="1">
      <c r="A159" s="619">
        <v>41701</v>
      </c>
      <c r="B159" s="620" t="s">
        <v>512</v>
      </c>
      <c r="C159" s="621" t="s">
        <v>514</v>
      </c>
    </row>
    <row r="160" spans="1:3" ht="13.5" thickBot="1">
      <c r="A160" s="619">
        <v>41702</v>
      </c>
      <c r="B160" s="620" t="s">
        <v>515</v>
      </c>
      <c r="C160" s="621" t="s">
        <v>514</v>
      </c>
    </row>
    <row r="161" spans="1:3" ht="13.5" thickBot="1">
      <c r="A161" s="619">
        <v>41747</v>
      </c>
      <c r="B161" s="620" t="s">
        <v>516</v>
      </c>
      <c r="C161" s="621" t="s">
        <v>517</v>
      </c>
    </row>
    <row r="162" spans="1:3" ht="13.5" thickBot="1">
      <c r="A162" s="619">
        <v>41750</v>
      </c>
      <c r="B162" s="620" t="s">
        <v>512</v>
      </c>
      <c r="C162" s="621" t="s">
        <v>519</v>
      </c>
    </row>
    <row r="163" spans="1:3" ht="13.5" thickBot="1">
      <c r="A163" s="619">
        <v>41760</v>
      </c>
      <c r="B163" s="620" t="s">
        <v>521</v>
      </c>
      <c r="C163" s="621" t="s">
        <v>520</v>
      </c>
    </row>
    <row r="164" spans="1:3" ht="13.5" thickBot="1">
      <c r="A164" s="619">
        <v>41809</v>
      </c>
      <c r="B164" s="620" t="s">
        <v>521</v>
      </c>
      <c r="C164" s="621" t="s">
        <v>522</v>
      </c>
    </row>
    <row r="165" spans="1:3" ht="13.5" thickBot="1">
      <c r="A165" s="619">
        <v>41889</v>
      </c>
      <c r="B165" s="620" t="s">
        <v>528</v>
      </c>
      <c r="C165" s="621" t="s">
        <v>523</v>
      </c>
    </row>
    <row r="166" spans="1:3" ht="14.25" thickBot="1">
      <c r="A166" s="619">
        <v>41924</v>
      </c>
      <c r="B166" s="620" t="s">
        <v>528</v>
      </c>
      <c r="C166" s="621" t="s">
        <v>524</v>
      </c>
    </row>
    <row r="167" spans="1:3" ht="13.5" thickBot="1">
      <c r="A167" s="619">
        <v>41945</v>
      </c>
      <c r="B167" s="620" t="s">
        <v>528</v>
      </c>
      <c r="C167" s="621" t="s">
        <v>525</v>
      </c>
    </row>
    <row r="168" spans="1:3" ht="13.5" thickBot="1">
      <c r="A168" s="619">
        <v>41958</v>
      </c>
      <c r="B168" s="620" t="s">
        <v>518</v>
      </c>
      <c r="C168" s="621" t="s">
        <v>526</v>
      </c>
    </row>
    <row r="169" spans="1:3" ht="13.5" thickBot="1">
      <c r="A169" s="619">
        <v>41998</v>
      </c>
      <c r="B169" s="620" t="s">
        <v>521</v>
      </c>
      <c r="C169" s="621" t="s">
        <v>527</v>
      </c>
    </row>
    <row r="170" spans="1:3" ht="13.5" thickBot="1">
      <c r="A170" s="622">
        <v>42005</v>
      </c>
      <c r="B170" s="623" t="s">
        <v>521</v>
      </c>
      <c r="C170" s="624" t="s">
        <v>513</v>
      </c>
    </row>
    <row r="171" spans="1:3" ht="13.5" thickBot="1">
      <c r="A171" s="619">
        <v>42051</v>
      </c>
      <c r="B171" s="620" t="s">
        <v>512</v>
      </c>
      <c r="C171" s="621" t="s">
        <v>514</v>
      </c>
    </row>
    <row r="172" spans="1:3" ht="13.5" thickBot="1">
      <c r="A172" s="619">
        <v>42052</v>
      </c>
      <c r="B172" s="620" t="s">
        <v>515</v>
      </c>
      <c r="C172" s="621" t="s">
        <v>514</v>
      </c>
    </row>
    <row r="173" spans="1:3" ht="13.5" thickBot="1">
      <c r="A173" s="619">
        <v>42097</v>
      </c>
      <c r="B173" s="620" t="s">
        <v>516</v>
      </c>
      <c r="C173" s="621" t="s">
        <v>517</v>
      </c>
    </row>
    <row r="174" spans="1:3" ht="13.5" thickBot="1">
      <c r="A174" s="619">
        <v>42115</v>
      </c>
      <c r="B174" s="620" t="s">
        <v>515</v>
      </c>
      <c r="C174" s="621" t="s">
        <v>519</v>
      </c>
    </row>
    <row r="175" spans="1:3" ht="13.5" thickBot="1">
      <c r="A175" s="619">
        <v>42125</v>
      </c>
      <c r="B175" s="620" t="s">
        <v>516</v>
      </c>
      <c r="C175" s="621" t="s">
        <v>520</v>
      </c>
    </row>
    <row r="176" spans="1:3" ht="13.5" thickBot="1">
      <c r="A176" s="619">
        <v>42159</v>
      </c>
      <c r="B176" s="620" t="s">
        <v>521</v>
      </c>
      <c r="C176" s="621" t="s">
        <v>522</v>
      </c>
    </row>
    <row r="177" spans="1:3" ht="13.5" thickBot="1">
      <c r="A177" s="619">
        <v>42254</v>
      </c>
      <c r="B177" s="620" t="s">
        <v>512</v>
      </c>
      <c r="C177" s="621" t="s">
        <v>523</v>
      </c>
    </row>
    <row r="178" spans="1:3" ht="14.25" thickBot="1">
      <c r="A178" s="619">
        <v>42289</v>
      </c>
      <c r="B178" s="620" t="s">
        <v>512</v>
      </c>
      <c r="C178" s="621" t="s">
        <v>524</v>
      </c>
    </row>
    <row r="179" spans="1:3" ht="13.5" thickBot="1">
      <c r="A179" s="619">
        <v>42310</v>
      </c>
      <c r="B179" s="620" t="s">
        <v>512</v>
      </c>
      <c r="C179" s="621" t="s">
        <v>525</v>
      </c>
    </row>
    <row r="180" spans="1:3" ht="13.5" thickBot="1">
      <c r="A180" s="619">
        <v>42323</v>
      </c>
      <c r="B180" s="620" t="s">
        <v>528</v>
      </c>
      <c r="C180" s="621" t="s">
        <v>526</v>
      </c>
    </row>
    <row r="181" spans="1:3" ht="13.5" thickBot="1">
      <c r="A181" s="619">
        <v>42363</v>
      </c>
      <c r="B181" s="620" t="s">
        <v>516</v>
      </c>
      <c r="C181" s="621" t="s">
        <v>527</v>
      </c>
    </row>
    <row r="182" spans="1:3" ht="13.5" thickBot="1">
      <c r="A182" s="622">
        <v>42370</v>
      </c>
      <c r="B182" s="623" t="s">
        <v>516</v>
      </c>
      <c r="C182" s="624" t="s">
        <v>513</v>
      </c>
    </row>
    <row r="183" spans="1:3" ht="13.5" thickBot="1">
      <c r="A183" s="619">
        <v>42408</v>
      </c>
      <c r="B183" s="620" t="s">
        <v>512</v>
      </c>
      <c r="C183" s="621" t="s">
        <v>514</v>
      </c>
    </row>
    <row r="184" spans="1:3" ht="13.5" thickBot="1">
      <c r="A184" s="619">
        <v>42409</v>
      </c>
      <c r="B184" s="620" t="s">
        <v>515</v>
      </c>
      <c r="C184" s="621" t="s">
        <v>514</v>
      </c>
    </row>
    <row r="185" spans="1:3" ht="13.5" thickBot="1">
      <c r="A185" s="619">
        <v>42454</v>
      </c>
      <c r="B185" s="620" t="s">
        <v>516</v>
      </c>
      <c r="C185" s="621" t="s">
        <v>517</v>
      </c>
    </row>
    <row r="186" spans="1:3" ht="13.5" thickBot="1">
      <c r="A186" s="619">
        <v>42481</v>
      </c>
      <c r="B186" s="620" t="s">
        <v>521</v>
      </c>
      <c r="C186" s="621" t="s">
        <v>519</v>
      </c>
    </row>
    <row r="187" spans="1:3" ht="13.5" thickBot="1">
      <c r="A187" s="619">
        <v>42491</v>
      </c>
      <c r="B187" s="620" t="s">
        <v>528</v>
      </c>
      <c r="C187" s="621" t="s">
        <v>520</v>
      </c>
    </row>
    <row r="188" spans="1:3" ht="13.5" thickBot="1">
      <c r="A188" s="619">
        <v>42516</v>
      </c>
      <c r="B188" s="620" t="s">
        <v>521</v>
      </c>
      <c r="C188" s="621" t="s">
        <v>522</v>
      </c>
    </row>
    <row r="189" spans="1:3" ht="13.5" thickBot="1">
      <c r="A189" s="619">
        <v>42620</v>
      </c>
      <c r="B189" s="620" t="s">
        <v>529</v>
      </c>
      <c r="C189" s="621" t="s">
        <v>523</v>
      </c>
    </row>
    <row r="190" spans="1:3" ht="14.25" thickBot="1">
      <c r="A190" s="619">
        <v>42655</v>
      </c>
      <c r="B190" s="620" t="s">
        <v>529</v>
      </c>
      <c r="C190" s="621" t="s">
        <v>524</v>
      </c>
    </row>
    <row r="191" spans="1:3" ht="13.5" thickBot="1">
      <c r="A191" s="619">
        <v>42676</v>
      </c>
      <c r="B191" s="620" t="s">
        <v>529</v>
      </c>
      <c r="C191" s="621" t="s">
        <v>525</v>
      </c>
    </row>
    <row r="192" spans="1:3" ht="13.5" thickBot="1">
      <c r="A192" s="619">
        <v>42689</v>
      </c>
      <c r="B192" s="620" t="s">
        <v>515</v>
      </c>
      <c r="C192" s="621" t="s">
        <v>526</v>
      </c>
    </row>
    <row r="193" spans="1:3" ht="13.5" thickBot="1">
      <c r="A193" s="619">
        <v>42729</v>
      </c>
      <c r="B193" s="620" t="s">
        <v>528</v>
      </c>
      <c r="C193" s="621" t="s">
        <v>527</v>
      </c>
    </row>
    <row r="194" spans="1:3" ht="13.5" thickBot="1">
      <c r="A194" s="622">
        <v>42736</v>
      </c>
      <c r="B194" s="623" t="s">
        <v>528</v>
      </c>
      <c r="C194" s="624" t="s">
        <v>513</v>
      </c>
    </row>
    <row r="195" spans="1:3" ht="13.5" thickBot="1">
      <c r="A195" s="619">
        <v>42793</v>
      </c>
      <c r="B195" s="620" t="s">
        <v>512</v>
      </c>
      <c r="C195" s="621" t="s">
        <v>514</v>
      </c>
    </row>
    <row r="196" spans="1:3" ht="13.5" thickBot="1">
      <c r="A196" s="619">
        <v>42794</v>
      </c>
      <c r="B196" s="620" t="s">
        <v>515</v>
      </c>
      <c r="C196" s="621" t="s">
        <v>514</v>
      </c>
    </row>
    <row r="197" spans="1:3" ht="13.5" thickBot="1">
      <c r="A197" s="619">
        <v>42839</v>
      </c>
      <c r="B197" s="620" t="s">
        <v>516</v>
      </c>
      <c r="C197" s="621" t="s">
        <v>517</v>
      </c>
    </row>
    <row r="198" spans="1:3" ht="13.5" thickBot="1">
      <c r="A198" s="619">
        <v>42846</v>
      </c>
      <c r="B198" s="620" t="s">
        <v>516</v>
      </c>
      <c r="C198" s="621" t="s">
        <v>519</v>
      </c>
    </row>
    <row r="199" spans="1:3" ht="13.5" thickBot="1">
      <c r="A199" s="619">
        <v>42856</v>
      </c>
      <c r="B199" s="620" t="s">
        <v>512</v>
      </c>
      <c r="C199" s="621" t="s">
        <v>520</v>
      </c>
    </row>
    <row r="200" spans="1:3" ht="13.5" thickBot="1">
      <c r="A200" s="619">
        <v>42901</v>
      </c>
      <c r="B200" s="620" t="s">
        <v>521</v>
      </c>
      <c r="C200" s="621" t="s">
        <v>522</v>
      </c>
    </row>
    <row r="201" spans="1:3" ht="13.5" thickBot="1">
      <c r="A201" s="619">
        <v>42985</v>
      </c>
      <c r="B201" s="620" t="s">
        <v>521</v>
      </c>
      <c r="C201" s="621" t="s">
        <v>523</v>
      </c>
    </row>
    <row r="202" spans="1:3" ht="14.25" thickBot="1">
      <c r="A202" s="619">
        <v>43020</v>
      </c>
      <c r="B202" s="620" t="s">
        <v>521</v>
      </c>
      <c r="C202" s="621" t="s">
        <v>524</v>
      </c>
    </row>
    <row r="203" spans="1:3" ht="13.5" thickBot="1">
      <c r="A203" s="619">
        <v>43041</v>
      </c>
      <c r="B203" s="620" t="s">
        <v>521</v>
      </c>
      <c r="C203" s="621" t="s">
        <v>525</v>
      </c>
    </row>
    <row r="204" spans="1:3" ht="13.5" thickBot="1">
      <c r="A204" s="619">
        <v>43054</v>
      </c>
      <c r="B204" s="620" t="s">
        <v>529</v>
      </c>
      <c r="C204" s="621" t="s">
        <v>526</v>
      </c>
    </row>
    <row r="205" spans="1:3" ht="13.5" thickBot="1">
      <c r="A205" s="619">
        <v>43094</v>
      </c>
      <c r="B205" s="620" t="s">
        <v>512</v>
      </c>
      <c r="C205" s="621" t="s">
        <v>527</v>
      </c>
    </row>
    <row r="206" spans="1:3" ht="13.5" thickBot="1">
      <c r="A206" s="622">
        <v>43101</v>
      </c>
      <c r="B206" s="623" t="s">
        <v>512</v>
      </c>
      <c r="C206" s="624" t="s">
        <v>513</v>
      </c>
    </row>
    <row r="207" spans="1:3" ht="13.5" thickBot="1">
      <c r="A207" s="619">
        <v>43143</v>
      </c>
      <c r="B207" s="620" t="s">
        <v>512</v>
      </c>
      <c r="C207" s="621" t="s">
        <v>514</v>
      </c>
    </row>
    <row r="208" spans="1:3" ht="13.5" thickBot="1">
      <c r="A208" s="619">
        <v>43144</v>
      </c>
      <c r="B208" s="620" t="s">
        <v>515</v>
      </c>
      <c r="C208" s="621" t="s">
        <v>514</v>
      </c>
    </row>
    <row r="209" spans="1:3" ht="13.5" thickBot="1">
      <c r="A209" s="619">
        <v>43189</v>
      </c>
      <c r="B209" s="620" t="s">
        <v>516</v>
      </c>
      <c r="C209" s="621" t="s">
        <v>517</v>
      </c>
    </row>
    <row r="210" spans="1:3" ht="13.5" thickBot="1">
      <c r="A210" s="619">
        <v>43211</v>
      </c>
      <c r="B210" s="620" t="s">
        <v>518</v>
      </c>
      <c r="C210" s="621" t="s">
        <v>519</v>
      </c>
    </row>
    <row r="211" spans="1:3" ht="13.5" thickBot="1">
      <c r="A211" s="619">
        <v>43221</v>
      </c>
      <c r="B211" s="620" t="s">
        <v>515</v>
      </c>
      <c r="C211" s="621" t="s">
        <v>520</v>
      </c>
    </row>
    <row r="212" spans="1:3" ht="13.5" thickBot="1">
      <c r="A212" s="619">
        <v>43251</v>
      </c>
      <c r="B212" s="620" t="s">
        <v>521</v>
      </c>
      <c r="C212" s="621" t="s">
        <v>522</v>
      </c>
    </row>
    <row r="213" spans="1:3" ht="13.5" thickBot="1">
      <c r="A213" s="619">
        <v>43350</v>
      </c>
      <c r="B213" s="620" t="s">
        <v>516</v>
      </c>
      <c r="C213" s="621" t="s">
        <v>523</v>
      </c>
    </row>
    <row r="214" spans="1:3" ht="14.25" thickBot="1">
      <c r="A214" s="619">
        <v>43385</v>
      </c>
      <c r="B214" s="620" t="s">
        <v>516</v>
      </c>
      <c r="C214" s="621" t="s">
        <v>524</v>
      </c>
    </row>
    <row r="215" spans="1:3" ht="13.5" thickBot="1">
      <c r="A215" s="619">
        <v>43406</v>
      </c>
      <c r="B215" s="620" t="s">
        <v>516</v>
      </c>
      <c r="C215" s="621" t="s">
        <v>525</v>
      </c>
    </row>
    <row r="216" spans="1:3" ht="13.5" thickBot="1">
      <c r="A216" s="619">
        <v>43419</v>
      </c>
      <c r="B216" s="620" t="s">
        <v>521</v>
      </c>
      <c r="C216" s="621" t="s">
        <v>526</v>
      </c>
    </row>
    <row r="217" spans="1:3" ht="13.5" thickBot="1">
      <c r="A217" s="619">
        <v>43459</v>
      </c>
      <c r="B217" s="620" t="s">
        <v>515</v>
      </c>
      <c r="C217" s="621" t="s">
        <v>527</v>
      </c>
    </row>
    <row r="218" spans="1:3" ht="13.5" thickBot="1">
      <c r="A218" s="622">
        <v>43466</v>
      </c>
      <c r="B218" s="623" t="s">
        <v>515</v>
      </c>
      <c r="C218" s="624" t="s">
        <v>513</v>
      </c>
    </row>
    <row r="219" spans="1:3" ht="13.5" thickBot="1">
      <c r="A219" s="619">
        <v>43528</v>
      </c>
      <c r="B219" s="620" t="s">
        <v>512</v>
      </c>
      <c r="C219" s="621" t="s">
        <v>514</v>
      </c>
    </row>
    <row r="220" spans="1:3" ht="13.5" thickBot="1">
      <c r="A220" s="619">
        <v>43529</v>
      </c>
      <c r="B220" s="620" t="s">
        <v>515</v>
      </c>
      <c r="C220" s="621" t="s">
        <v>514</v>
      </c>
    </row>
    <row r="221" spans="1:3" ht="13.5" thickBot="1">
      <c r="A221" s="619">
        <v>43574</v>
      </c>
      <c r="B221" s="620" t="s">
        <v>516</v>
      </c>
      <c r="C221" s="621" t="s">
        <v>517</v>
      </c>
    </row>
    <row r="222" spans="1:3" ht="13.5" thickBot="1">
      <c r="A222" s="619">
        <v>43576</v>
      </c>
      <c r="B222" s="620" t="s">
        <v>528</v>
      </c>
      <c r="C222" s="621" t="s">
        <v>519</v>
      </c>
    </row>
    <row r="223" spans="1:3" ht="13.5" thickBot="1">
      <c r="A223" s="619">
        <v>43586</v>
      </c>
      <c r="B223" s="620" t="s">
        <v>529</v>
      </c>
      <c r="C223" s="621" t="s">
        <v>520</v>
      </c>
    </row>
    <row r="224" spans="1:3" ht="13.5" thickBot="1">
      <c r="A224" s="619">
        <v>43636</v>
      </c>
      <c r="B224" s="620" t="s">
        <v>521</v>
      </c>
      <c r="C224" s="621" t="s">
        <v>522</v>
      </c>
    </row>
    <row r="225" spans="1:3" ht="13.5" thickBot="1">
      <c r="A225" s="619">
        <v>43715</v>
      </c>
      <c r="B225" s="620" t="s">
        <v>518</v>
      </c>
      <c r="C225" s="621" t="s">
        <v>523</v>
      </c>
    </row>
    <row r="226" spans="1:3" ht="14.25" thickBot="1">
      <c r="A226" s="619">
        <v>43750</v>
      </c>
      <c r="B226" s="620" t="s">
        <v>518</v>
      </c>
      <c r="C226" s="621" t="s">
        <v>524</v>
      </c>
    </row>
    <row r="227" spans="1:3" ht="13.5" thickBot="1">
      <c r="A227" s="619">
        <v>43771</v>
      </c>
      <c r="B227" s="620" t="s">
        <v>518</v>
      </c>
      <c r="C227" s="621" t="s">
        <v>525</v>
      </c>
    </row>
    <row r="228" spans="1:3" ht="13.5" thickBot="1">
      <c r="A228" s="619">
        <v>43784</v>
      </c>
      <c r="B228" s="620" t="s">
        <v>516</v>
      </c>
      <c r="C228" s="621" t="s">
        <v>526</v>
      </c>
    </row>
    <row r="229" spans="1:3" ht="13.5" thickBot="1">
      <c r="A229" s="619">
        <v>43824</v>
      </c>
      <c r="B229" s="620" t="s">
        <v>529</v>
      </c>
      <c r="C229" s="621" t="s">
        <v>527</v>
      </c>
    </row>
    <row r="230" spans="1:3" ht="13.5" thickBot="1">
      <c r="A230" s="622">
        <v>43831</v>
      </c>
      <c r="B230" s="623" t="s">
        <v>529</v>
      </c>
      <c r="C230" s="624" t="s">
        <v>513</v>
      </c>
    </row>
    <row r="231" spans="1:3" ht="13.5" thickBot="1">
      <c r="A231" s="619">
        <v>43885</v>
      </c>
      <c r="B231" s="620" t="s">
        <v>512</v>
      </c>
      <c r="C231" s="621" t="s">
        <v>514</v>
      </c>
    </row>
    <row r="232" spans="1:3" ht="13.5" thickBot="1">
      <c r="A232" s="619">
        <v>43886</v>
      </c>
      <c r="B232" s="620" t="s">
        <v>515</v>
      </c>
      <c r="C232" s="621" t="s">
        <v>514</v>
      </c>
    </row>
    <row r="233" spans="1:3" ht="13.5" thickBot="1">
      <c r="A233" s="619">
        <v>43931</v>
      </c>
      <c r="B233" s="620" t="s">
        <v>516</v>
      </c>
      <c r="C233" s="621" t="s">
        <v>517</v>
      </c>
    </row>
    <row r="234" spans="1:3" ht="13.5" thickBot="1">
      <c r="A234" s="619">
        <v>43942</v>
      </c>
      <c r="B234" s="620" t="s">
        <v>515</v>
      </c>
      <c r="C234" s="621" t="s">
        <v>519</v>
      </c>
    </row>
    <row r="235" spans="1:3" ht="13.5" thickBot="1">
      <c r="A235" s="619">
        <v>43952</v>
      </c>
      <c r="B235" s="620" t="s">
        <v>516</v>
      </c>
      <c r="C235" s="621" t="s">
        <v>520</v>
      </c>
    </row>
    <row r="236" spans="1:3" ht="13.5" thickBot="1">
      <c r="A236" s="619">
        <v>43993</v>
      </c>
      <c r="B236" s="620" t="s">
        <v>521</v>
      </c>
      <c r="C236" s="621" t="s">
        <v>522</v>
      </c>
    </row>
    <row r="237" spans="1:3" ht="13.5" thickBot="1">
      <c r="A237" s="619">
        <v>44081</v>
      </c>
      <c r="B237" s="620" t="s">
        <v>512</v>
      </c>
      <c r="C237" s="621" t="s">
        <v>523</v>
      </c>
    </row>
    <row r="238" spans="1:3" ht="14.25" thickBot="1">
      <c r="A238" s="619">
        <v>44116</v>
      </c>
      <c r="B238" s="620" t="s">
        <v>512</v>
      </c>
      <c r="C238" s="621" t="s">
        <v>524</v>
      </c>
    </row>
    <row r="239" spans="1:3" ht="13.5" thickBot="1">
      <c r="A239" s="619">
        <v>44137</v>
      </c>
      <c r="B239" s="620" t="s">
        <v>512</v>
      </c>
      <c r="C239" s="621" t="s">
        <v>525</v>
      </c>
    </row>
    <row r="240" spans="1:3" ht="13.5" thickBot="1">
      <c r="A240" s="619">
        <v>44150</v>
      </c>
      <c r="B240" s="620" t="s">
        <v>528</v>
      </c>
      <c r="C240" s="621" t="s">
        <v>526</v>
      </c>
    </row>
    <row r="241" spans="1:3" ht="13.5" thickBot="1">
      <c r="A241" s="619">
        <v>44190</v>
      </c>
      <c r="B241" s="620" t="s">
        <v>516</v>
      </c>
      <c r="C241" s="621" t="s">
        <v>527</v>
      </c>
    </row>
    <row r="242" spans="1:3" ht="13.5" thickBot="1">
      <c r="A242" s="622">
        <v>44197</v>
      </c>
      <c r="B242" s="623" t="s">
        <v>516</v>
      </c>
      <c r="C242" s="624" t="s">
        <v>513</v>
      </c>
    </row>
    <row r="243" spans="1:3" ht="13.5" thickBot="1">
      <c r="A243" s="619">
        <v>44242</v>
      </c>
      <c r="B243" s="620" t="s">
        <v>512</v>
      </c>
      <c r="C243" s="621" t="s">
        <v>514</v>
      </c>
    </row>
    <row r="244" spans="1:3" ht="13.5" thickBot="1">
      <c r="A244" s="619">
        <v>44243</v>
      </c>
      <c r="B244" s="620" t="s">
        <v>515</v>
      </c>
      <c r="C244" s="621" t="s">
        <v>514</v>
      </c>
    </row>
    <row r="245" spans="1:3" ht="13.5" thickBot="1">
      <c r="A245" s="619">
        <v>44288</v>
      </c>
      <c r="B245" s="620" t="s">
        <v>516</v>
      </c>
      <c r="C245" s="621" t="s">
        <v>517</v>
      </c>
    </row>
    <row r="246" spans="1:3" ht="13.5" thickBot="1">
      <c r="A246" s="619">
        <v>44307</v>
      </c>
      <c r="B246" s="620" t="s">
        <v>529</v>
      </c>
      <c r="C246" s="621" t="s">
        <v>519</v>
      </c>
    </row>
    <row r="247" spans="1:3" ht="13.5" thickBot="1">
      <c r="A247" s="619">
        <v>44317</v>
      </c>
      <c r="B247" s="620" t="s">
        <v>518</v>
      </c>
      <c r="C247" s="621" t="s">
        <v>520</v>
      </c>
    </row>
    <row r="248" spans="1:3" ht="13.5" thickBot="1">
      <c r="A248" s="619">
        <v>44350</v>
      </c>
      <c r="B248" s="620" t="s">
        <v>521</v>
      </c>
      <c r="C248" s="621" t="s">
        <v>522</v>
      </c>
    </row>
    <row r="249" spans="1:3" ht="13.5" thickBot="1">
      <c r="A249" s="619">
        <v>44446</v>
      </c>
      <c r="B249" s="620" t="s">
        <v>515</v>
      </c>
      <c r="C249" s="621" t="s">
        <v>523</v>
      </c>
    </row>
    <row r="250" spans="1:3" ht="14.25" thickBot="1">
      <c r="A250" s="619">
        <v>44481</v>
      </c>
      <c r="B250" s="620" t="s">
        <v>515</v>
      </c>
      <c r="C250" s="621" t="s">
        <v>524</v>
      </c>
    </row>
    <row r="251" spans="1:3" ht="13.5" thickBot="1">
      <c r="A251" s="619">
        <v>44502</v>
      </c>
      <c r="B251" s="620" t="s">
        <v>515</v>
      </c>
      <c r="C251" s="621" t="s">
        <v>525</v>
      </c>
    </row>
    <row r="252" spans="1:3" ht="13.5" thickBot="1">
      <c r="A252" s="619">
        <v>44515</v>
      </c>
      <c r="B252" s="620" t="s">
        <v>512</v>
      </c>
      <c r="C252" s="621" t="s">
        <v>526</v>
      </c>
    </row>
    <row r="253" spans="1:3" ht="13.5" thickBot="1">
      <c r="A253" s="619">
        <v>44555</v>
      </c>
      <c r="B253" s="620" t="s">
        <v>518</v>
      </c>
      <c r="C253" s="621" t="s">
        <v>527</v>
      </c>
    </row>
    <row r="254" spans="1:3" ht="13.5" thickBot="1">
      <c r="A254" s="622">
        <v>44562</v>
      </c>
      <c r="B254" s="623" t="s">
        <v>518</v>
      </c>
      <c r="C254" s="624" t="s">
        <v>513</v>
      </c>
    </row>
    <row r="255" spans="1:3" ht="13.5" thickBot="1">
      <c r="A255" s="619">
        <v>44620</v>
      </c>
      <c r="B255" s="620" t="s">
        <v>512</v>
      </c>
      <c r="C255" s="621" t="s">
        <v>514</v>
      </c>
    </row>
    <row r="256" spans="1:3" ht="13.5" thickBot="1">
      <c r="A256" s="619">
        <v>44621</v>
      </c>
      <c r="B256" s="620" t="s">
        <v>515</v>
      </c>
      <c r="C256" s="621" t="s">
        <v>514</v>
      </c>
    </row>
    <row r="257" spans="1:3" ht="13.5" thickBot="1">
      <c r="A257" s="619">
        <v>44666</v>
      </c>
      <c r="B257" s="620" t="s">
        <v>516</v>
      </c>
      <c r="C257" s="621" t="s">
        <v>517</v>
      </c>
    </row>
    <row r="258" spans="1:3" ht="13.5" thickBot="1">
      <c r="A258" s="619">
        <v>44672</v>
      </c>
      <c r="B258" s="620" t="s">
        <v>521</v>
      </c>
      <c r="C258" s="621" t="s">
        <v>519</v>
      </c>
    </row>
    <row r="259" spans="1:3" ht="13.5" thickBot="1">
      <c r="A259" s="619">
        <v>44682</v>
      </c>
      <c r="B259" s="620" t="s">
        <v>528</v>
      </c>
      <c r="C259" s="621" t="s">
        <v>520</v>
      </c>
    </row>
    <row r="260" spans="1:3" ht="13.5" thickBot="1">
      <c r="A260" s="619">
        <v>44728</v>
      </c>
      <c r="B260" s="620" t="s">
        <v>521</v>
      </c>
      <c r="C260" s="621" t="s">
        <v>522</v>
      </c>
    </row>
    <row r="261" spans="1:3" ht="13.5" thickBot="1">
      <c r="A261" s="619">
        <v>44811</v>
      </c>
      <c r="B261" s="620" t="s">
        <v>529</v>
      </c>
      <c r="C261" s="621" t="s">
        <v>523</v>
      </c>
    </row>
    <row r="262" spans="1:3" ht="14.25" thickBot="1">
      <c r="A262" s="619">
        <v>44846</v>
      </c>
      <c r="B262" s="620" t="s">
        <v>529</v>
      </c>
      <c r="C262" s="621" t="s">
        <v>524</v>
      </c>
    </row>
    <row r="263" spans="1:3" ht="13.5" thickBot="1">
      <c r="A263" s="619">
        <v>44867</v>
      </c>
      <c r="B263" s="620" t="s">
        <v>529</v>
      </c>
      <c r="C263" s="621" t="s">
        <v>525</v>
      </c>
    </row>
    <row r="264" spans="1:3" ht="13.5" thickBot="1">
      <c r="A264" s="619">
        <v>44880</v>
      </c>
      <c r="B264" s="620" t="s">
        <v>515</v>
      </c>
      <c r="C264" s="621" t="s">
        <v>526</v>
      </c>
    </row>
    <row r="265" spans="1:3" ht="13.5" thickBot="1">
      <c r="A265" s="619">
        <v>44920</v>
      </c>
      <c r="B265" s="620" t="s">
        <v>528</v>
      </c>
      <c r="C265" s="621" t="s">
        <v>527</v>
      </c>
    </row>
    <row r="266" spans="1:3" ht="13.5" thickBot="1">
      <c r="A266" s="622">
        <v>44927</v>
      </c>
      <c r="B266" s="623" t="s">
        <v>528</v>
      </c>
      <c r="C266" s="624" t="s">
        <v>513</v>
      </c>
    </row>
    <row r="267" spans="1:3" ht="13.5" thickBot="1">
      <c r="A267" s="619">
        <v>44977</v>
      </c>
      <c r="B267" s="620" t="s">
        <v>512</v>
      </c>
      <c r="C267" s="621" t="s">
        <v>514</v>
      </c>
    </row>
    <row r="268" spans="1:3" ht="13.5" thickBot="1">
      <c r="A268" s="619">
        <v>44978</v>
      </c>
      <c r="B268" s="620" t="s">
        <v>515</v>
      </c>
      <c r="C268" s="621" t="s">
        <v>514</v>
      </c>
    </row>
    <row r="269" spans="1:3" ht="13.5" thickBot="1">
      <c r="A269" s="619">
        <v>45023</v>
      </c>
      <c r="B269" s="620" t="s">
        <v>516</v>
      </c>
      <c r="C269" s="621" t="s">
        <v>517</v>
      </c>
    </row>
    <row r="270" spans="1:3" ht="13.5" thickBot="1">
      <c r="A270" s="619">
        <v>45037</v>
      </c>
      <c r="B270" s="620" t="s">
        <v>516</v>
      </c>
      <c r="C270" s="621" t="s">
        <v>519</v>
      </c>
    </row>
    <row r="271" spans="1:3" ht="13.5" thickBot="1">
      <c r="A271" s="619">
        <v>45047</v>
      </c>
      <c r="B271" s="620" t="s">
        <v>512</v>
      </c>
      <c r="C271" s="621" t="s">
        <v>520</v>
      </c>
    </row>
    <row r="272" spans="1:3" ht="13.5" thickBot="1">
      <c r="A272" s="619">
        <v>45085</v>
      </c>
      <c r="B272" s="620" t="s">
        <v>521</v>
      </c>
      <c r="C272" s="621" t="s">
        <v>522</v>
      </c>
    </row>
    <row r="273" spans="1:3" ht="13.5" thickBot="1">
      <c r="A273" s="619">
        <v>45176</v>
      </c>
      <c r="B273" s="620" t="s">
        <v>521</v>
      </c>
      <c r="C273" s="621" t="s">
        <v>523</v>
      </c>
    </row>
    <row r="274" spans="1:3" ht="14.25" thickBot="1">
      <c r="A274" s="619">
        <v>45211</v>
      </c>
      <c r="B274" s="620" t="s">
        <v>521</v>
      </c>
      <c r="C274" s="621" t="s">
        <v>524</v>
      </c>
    </row>
    <row r="275" spans="1:3" ht="13.5" thickBot="1">
      <c r="A275" s="619">
        <v>45232</v>
      </c>
      <c r="B275" s="620" t="s">
        <v>521</v>
      </c>
      <c r="C275" s="621" t="s">
        <v>525</v>
      </c>
    </row>
    <row r="276" spans="1:3" ht="13.5" thickBot="1">
      <c r="A276" s="619">
        <v>45245</v>
      </c>
      <c r="B276" s="620" t="s">
        <v>529</v>
      </c>
      <c r="C276" s="621" t="s">
        <v>526</v>
      </c>
    </row>
    <row r="277" spans="1:3" ht="13.5" thickBot="1">
      <c r="A277" s="619">
        <v>45285</v>
      </c>
      <c r="B277" s="620" t="s">
        <v>512</v>
      </c>
      <c r="C277" s="621" t="s">
        <v>527</v>
      </c>
    </row>
    <row r="278" spans="1:3" ht="13.5" thickBot="1">
      <c r="A278" s="622">
        <v>45292</v>
      </c>
      <c r="B278" s="623" t="s">
        <v>512</v>
      </c>
      <c r="C278" s="624" t="s">
        <v>513</v>
      </c>
    </row>
    <row r="279" spans="1:3" ht="13.5" thickBot="1">
      <c r="A279" s="619">
        <v>45334</v>
      </c>
      <c r="B279" s="620" t="s">
        <v>512</v>
      </c>
      <c r="C279" s="621" t="s">
        <v>514</v>
      </c>
    </row>
    <row r="280" spans="1:3" ht="13.5" thickBot="1">
      <c r="A280" s="619">
        <v>45335</v>
      </c>
      <c r="B280" s="620" t="s">
        <v>515</v>
      </c>
      <c r="C280" s="621" t="s">
        <v>514</v>
      </c>
    </row>
    <row r="281" spans="1:3" ht="13.5" thickBot="1">
      <c r="A281" s="619">
        <v>45380</v>
      </c>
      <c r="B281" s="620" t="s">
        <v>516</v>
      </c>
      <c r="C281" s="621" t="s">
        <v>517</v>
      </c>
    </row>
    <row r="282" spans="1:3" ht="13.5" thickBot="1">
      <c r="A282" s="619">
        <v>45403</v>
      </c>
      <c r="B282" s="620" t="s">
        <v>528</v>
      </c>
      <c r="C282" s="621" t="s">
        <v>519</v>
      </c>
    </row>
    <row r="283" spans="1:3" ht="13.5" thickBot="1">
      <c r="A283" s="619">
        <v>45413</v>
      </c>
      <c r="B283" s="620" t="s">
        <v>529</v>
      </c>
      <c r="C283" s="621" t="s">
        <v>520</v>
      </c>
    </row>
    <row r="284" spans="1:3" ht="13.5" thickBot="1">
      <c r="A284" s="619">
        <v>45442</v>
      </c>
      <c r="B284" s="620" t="s">
        <v>521</v>
      </c>
      <c r="C284" s="621" t="s">
        <v>522</v>
      </c>
    </row>
    <row r="285" spans="1:3" ht="13.5" thickBot="1">
      <c r="A285" s="619">
        <v>45542</v>
      </c>
      <c r="B285" s="620" t="s">
        <v>518</v>
      </c>
      <c r="C285" s="621" t="s">
        <v>523</v>
      </c>
    </row>
    <row r="286" spans="1:3" ht="14.25" thickBot="1">
      <c r="A286" s="619">
        <v>45577</v>
      </c>
      <c r="B286" s="620" t="s">
        <v>518</v>
      </c>
      <c r="C286" s="621" t="s">
        <v>524</v>
      </c>
    </row>
    <row r="287" spans="1:3" ht="13.5" thickBot="1">
      <c r="A287" s="619">
        <v>45598</v>
      </c>
      <c r="B287" s="620" t="s">
        <v>518</v>
      </c>
      <c r="C287" s="621" t="s">
        <v>525</v>
      </c>
    </row>
    <row r="288" spans="1:3" ht="13.5" thickBot="1">
      <c r="A288" s="619">
        <v>45611</v>
      </c>
      <c r="B288" s="620" t="s">
        <v>516</v>
      </c>
      <c r="C288" s="621" t="s">
        <v>526</v>
      </c>
    </row>
    <row r="289" spans="1:3" ht="13.5" thickBot="1">
      <c r="A289" s="619">
        <v>45651</v>
      </c>
      <c r="B289" s="620" t="s">
        <v>529</v>
      </c>
      <c r="C289" s="621" t="s">
        <v>527</v>
      </c>
    </row>
    <row r="290" spans="1:3" ht="13.5" thickBot="1">
      <c r="A290" s="622">
        <v>45658</v>
      </c>
      <c r="B290" s="623" t="s">
        <v>529</v>
      </c>
      <c r="C290" s="624" t="s">
        <v>513</v>
      </c>
    </row>
    <row r="291" spans="1:3" ht="13.5" thickBot="1">
      <c r="A291" s="619">
        <v>45719</v>
      </c>
      <c r="B291" s="620" t="s">
        <v>512</v>
      </c>
      <c r="C291" s="621" t="s">
        <v>514</v>
      </c>
    </row>
    <row r="292" spans="1:3" ht="13.5" thickBot="1">
      <c r="A292" s="619">
        <v>45720</v>
      </c>
      <c r="B292" s="620" t="s">
        <v>515</v>
      </c>
      <c r="C292" s="621" t="s">
        <v>514</v>
      </c>
    </row>
    <row r="293" spans="1:3" ht="13.5" thickBot="1">
      <c r="A293" s="619">
        <v>45765</v>
      </c>
      <c r="B293" s="620" t="s">
        <v>516</v>
      </c>
      <c r="C293" s="621" t="s">
        <v>517</v>
      </c>
    </row>
    <row r="294" spans="1:3" ht="13.5" thickBot="1">
      <c r="A294" s="619">
        <v>45768</v>
      </c>
      <c r="B294" s="620" t="s">
        <v>512</v>
      </c>
      <c r="C294" s="621" t="s">
        <v>519</v>
      </c>
    </row>
    <row r="295" spans="1:3" ht="13.5" thickBot="1">
      <c r="A295" s="619">
        <v>45778</v>
      </c>
      <c r="B295" s="620" t="s">
        <v>521</v>
      </c>
      <c r="C295" s="621" t="s">
        <v>520</v>
      </c>
    </row>
    <row r="296" spans="1:3" ht="13.5" thickBot="1">
      <c r="A296" s="619">
        <v>45827</v>
      </c>
      <c r="B296" s="620" t="s">
        <v>521</v>
      </c>
      <c r="C296" s="621" t="s">
        <v>522</v>
      </c>
    </row>
    <row r="297" spans="1:3" ht="13.5" thickBot="1">
      <c r="A297" s="619">
        <v>45907</v>
      </c>
      <c r="B297" s="620" t="s">
        <v>528</v>
      </c>
      <c r="C297" s="621" t="s">
        <v>523</v>
      </c>
    </row>
    <row r="298" spans="1:3" ht="14.25" thickBot="1">
      <c r="A298" s="619">
        <v>45942</v>
      </c>
      <c r="B298" s="620" t="s">
        <v>528</v>
      </c>
      <c r="C298" s="621" t="s">
        <v>524</v>
      </c>
    </row>
    <row r="299" spans="1:3" ht="13.5" thickBot="1">
      <c r="A299" s="619">
        <v>45963</v>
      </c>
      <c r="B299" s="620" t="s">
        <v>528</v>
      </c>
      <c r="C299" s="621" t="s">
        <v>525</v>
      </c>
    </row>
    <row r="300" spans="1:3" ht="13.5" thickBot="1">
      <c r="A300" s="619">
        <v>45976</v>
      </c>
      <c r="B300" s="620" t="s">
        <v>518</v>
      </c>
      <c r="C300" s="621" t="s">
        <v>526</v>
      </c>
    </row>
    <row r="301" spans="1:3" ht="13.5" thickBot="1">
      <c r="A301" s="619">
        <v>46016</v>
      </c>
      <c r="B301" s="620" t="s">
        <v>521</v>
      </c>
      <c r="C301" s="621" t="s">
        <v>527</v>
      </c>
    </row>
    <row r="302" spans="1:3" ht="13.5" thickBot="1">
      <c r="A302" s="622">
        <v>46023</v>
      </c>
      <c r="B302" s="623" t="s">
        <v>521</v>
      </c>
      <c r="C302" s="624" t="s">
        <v>513</v>
      </c>
    </row>
    <row r="303" spans="1:3" ht="13.5" thickBot="1">
      <c r="A303" s="619">
        <v>46069</v>
      </c>
      <c r="B303" s="620" t="s">
        <v>512</v>
      </c>
      <c r="C303" s="621" t="s">
        <v>514</v>
      </c>
    </row>
    <row r="304" spans="1:3" ht="13.5" thickBot="1">
      <c r="A304" s="619">
        <v>46070</v>
      </c>
      <c r="B304" s="620" t="s">
        <v>515</v>
      </c>
      <c r="C304" s="621" t="s">
        <v>514</v>
      </c>
    </row>
    <row r="305" spans="1:3" ht="13.5" thickBot="1">
      <c r="A305" s="619">
        <v>46115</v>
      </c>
      <c r="B305" s="620" t="s">
        <v>516</v>
      </c>
      <c r="C305" s="621" t="s">
        <v>517</v>
      </c>
    </row>
    <row r="306" spans="1:3" ht="13.5" thickBot="1">
      <c r="A306" s="619">
        <v>46133</v>
      </c>
      <c r="B306" s="620" t="s">
        <v>515</v>
      </c>
      <c r="C306" s="621" t="s">
        <v>519</v>
      </c>
    </row>
    <row r="307" spans="1:3" ht="13.5" thickBot="1">
      <c r="A307" s="619">
        <v>46143</v>
      </c>
      <c r="B307" s="620" t="s">
        <v>516</v>
      </c>
      <c r="C307" s="621" t="s">
        <v>520</v>
      </c>
    </row>
    <row r="308" spans="1:3" ht="13.5" thickBot="1">
      <c r="A308" s="619">
        <v>46177</v>
      </c>
      <c r="B308" s="620" t="s">
        <v>521</v>
      </c>
      <c r="C308" s="621" t="s">
        <v>522</v>
      </c>
    </row>
    <row r="309" spans="1:3" ht="13.5" thickBot="1">
      <c r="A309" s="619">
        <v>46272</v>
      </c>
      <c r="B309" s="620" t="s">
        <v>512</v>
      </c>
      <c r="C309" s="621" t="s">
        <v>523</v>
      </c>
    </row>
    <row r="310" spans="1:3" ht="14.25" thickBot="1">
      <c r="A310" s="619">
        <v>46307</v>
      </c>
      <c r="B310" s="620" t="s">
        <v>512</v>
      </c>
      <c r="C310" s="621" t="s">
        <v>524</v>
      </c>
    </row>
    <row r="311" spans="1:3" ht="13.5" thickBot="1">
      <c r="A311" s="619">
        <v>46328</v>
      </c>
      <c r="B311" s="620" t="s">
        <v>512</v>
      </c>
      <c r="C311" s="621" t="s">
        <v>525</v>
      </c>
    </row>
    <row r="312" spans="1:3" ht="13.5" thickBot="1">
      <c r="A312" s="619">
        <v>46341</v>
      </c>
      <c r="B312" s="620" t="s">
        <v>528</v>
      </c>
      <c r="C312" s="621" t="s">
        <v>526</v>
      </c>
    </row>
    <row r="313" spans="1:3" ht="13.5" thickBot="1">
      <c r="A313" s="619">
        <v>46381</v>
      </c>
      <c r="B313" s="620" t="s">
        <v>516</v>
      </c>
      <c r="C313" s="621" t="s">
        <v>527</v>
      </c>
    </row>
    <row r="314" spans="1:3" ht="13.5" thickBot="1">
      <c r="A314" s="622">
        <v>46388</v>
      </c>
      <c r="B314" s="623" t="s">
        <v>516</v>
      </c>
      <c r="C314" s="624" t="s">
        <v>513</v>
      </c>
    </row>
    <row r="315" spans="1:3" ht="13.5" thickBot="1">
      <c r="A315" s="619">
        <v>46426</v>
      </c>
      <c r="B315" s="620" t="s">
        <v>512</v>
      </c>
      <c r="C315" s="621" t="s">
        <v>514</v>
      </c>
    </row>
    <row r="316" spans="1:3" ht="13.5" thickBot="1">
      <c r="A316" s="619">
        <v>46427</v>
      </c>
      <c r="B316" s="620" t="s">
        <v>515</v>
      </c>
      <c r="C316" s="621" t="s">
        <v>514</v>
      </c>
    </row>
    <row r="317" spans="1:3" ht="13.5" thickBot="1">
      <c r="A317" s="619">
        <v>46472</v>
      </c>
      <c r="B317" s="620" t="s">
        <v>516</v>
      </c>
      <c r="C317" s="621" t="s">
        <v>517</v>
      </c>
    </row>
    <row r="318" spans="1:3" ht="13.5" thickBot="1">
      <c r="A318" s="619">
        <v>46498</v>
      </c>
      <c r="B318" s="620" t="s">
        <v>529</v>
      </c>
      <c r="C318" s="621" t="s">
        <v>519</v>
      </c>
    </row>
    <row r="319" spans="1:3" ht="13.5" thickBot="1">
      <c r="A319" s="619">
        <v>46508</v>
      </c>
      <c r="B319" s="620" t="s">
        <v>518</v>
      </c>
      <c r="C319" s="621" t="s">
        <v>520</v>
      </c>
    </row>
    <row r="320" spans="1:3" ht="13.5" thickBot="1">
      <c r="A320" s="619">
        <v>46534</v>
      </c>
      <c r="B320" s="620" t="s">
        <v>521</v>
      </c>
      <c r="C320" s="621" t="s">
        <v>522</v>
      </c>
    </row>
    <row r="321" spans="1:3" ht="13.5" thickBot="1">
      <c r="A321" s="619">
        <v>46637</v>
      </c>
      <c r="B321" s="620" t="s">
        <v>515</v>
      </c>
      <c r="C321" s="621" t="s">
        <v>523</v>
      </c>
    </row>
    <row r="322" spans="1:3" ht="14.25" thickBot="1">
      <c r="A322" s="619">
        <v>46672</v>
      </c>
      <c r="B322" s="620" t="s">
        <v>515</v>
      </c>
      <c r="C322" s="621" t="s">
        <v>524</v>
      </c>
    </row>
    <row r="323" spans="1:3" ht="13.5" thickBot="1">
      <c r="A323" s="619">
        <v>46693</v>
      </c>
      <c r="B323" s="620" t="s">
        <v>515</v>
      </c>
      <c r="C323" s="621" t="s">
        <v>525</v>
      </c>
    </row>
    <row r="324" spans="1:3" ht="13.5" thickBot="1">
      <c r="A324" s="619">
        <v>46706</v>
      </c>
      <c r="B324" s="620" t="s">
        <v>512</v>
      </c>
      <c r="C324" s="621" t="s">
        <v>526</v>
      </c>
    </row>
    <row r="325" spans="1:3" ht="13.5" thickBot="1">
      <c r="A325" s="619">
        <v>46746</v>
      </c>
      <c r="B325" s="620" t="s">
        <v>518</v>
      </c>
      <c r="C325" s="621" t="s">
        <v>527</v>
      </c>
    </row>
    <row r="326" spans="1:3" ht="13.5" thickBot="1">
      <c r="A326" s="622">
        <v>46753</v>
      </c>
      <c r="B326" s="623" t="s">
        <v>518</v>
      </c>
      <c r="C326" s="624" t="s">
        <v>513</v>
      </c>
    </row>
    <row r="327" spans="1:3" ht="13.5" thickBot="1">
      <c r="A327" s="619">
        <v>46811</v>
      </c>
      <c r="B327" s="620" t="s">
        <v>512</v>
      </c>
      <c r="C327" s="621" t="s">
        <v>514</v>
      </c>
    </row>
    <row r="328" spans="1:3" ht="13.5" thickBot="1">
      <c r="A328" s="619">
        <v>46812</v>
      </c>
      <c r="B328" s="620" t="s">
        <v>515</v>
      </c>
      <c r="C328" s="621" t="s">
        <v>514</v>
      </c>
    </row>
    <row r="329" spans="1:3" ht="13.5" thickBot="1">
      <c r="A329" s="619">
        <v>46857</v>
      </c>
      <c r="B329" s="620" t="s">
        <v>516</v>
      </c>
      <c r="C329" s="621" t="s">
        <v>517</v>
      </c>
    </row>
    <row r="330" spans="1:3" ht="13.5" thickBot="1">
      <c r="A330" s="619">
        <v>46864</v>
      </c>
      <c r="B330" s="620" t="s">
        <v>516</v>
      </c>
      <c r="C330" s="621" t="s">
        <v>519</v>
      </c>
    </row>
    <row r="331" spans="1:3" ht="13.5" thickBot="1">
      <c r="A331" s="619">
        <v>46874</v>
      </c>
      <c r="B331" s="620" t="s">
        <v>512</v>
      </c>
      <c r="C331" s="621" t="s">
        <v>520</v>
      </c>
    </row>
    <row r="332" spans="1:3" ht="13.5" thickBot="1">
      <c r="A332" s="619">
        <v>46919</v>
      </c>
      <c r="B332" s="620" t="s">
        <v>521</v>
      </c>
      <c r="C332" s="621" t="s">
        <v>522</v>
      </c>
    </row>
    <row r="333" spans="1:3" ht="13.5" thickBot="1">
      <c r="A333" s="619">
        <v>47003</v>
      </c>
      <c r="B333" s="620" t="s">
        <v>521</v>
      </c>
      <c r="C333" s="621" t="s">
        <v>523</v>
      </c>
    </row>
    <row r="334" spans="1:3" ht="14.25" thickBot="1">
      <c r="A334" s="619">
        <v>47038</v>
      </c>
      <c r="B334" s="620" t="s">
        <v>521</v>
      </c>
      <c r="C334" s="621" t="s">
        <v>524</v>
      </c>
    </row>
    <row r="335" spans="1:3" ht="13.5" thickBot="1">
      <c r="A335" s="619">
        <v>47059</v>
      </c>
      <c r="B335" s="620" t="s">
        <v>521</v>
      </c>
      <c r="C335" s="621" t="s">
        <v>525</v>
      </c>
    </row>
    <row r="336" spans="1:3" ht="13.5" thickBot="1">
      <c r="A336" s="619">
        <v>47072</v>
      </c>
      <c r="B336" s="620" t="s">
        <v>529</v>
      </c>
      <c r="C336" s="621" t="s">
        <v>526</v>
      </c>
    </row>
    <row r="337" spans="1:3" ht="13.5" thickBot="1">
      <c r="A337" s="619">
        <v>47112</v>
      </c>
      <c r="B337" s="620" t="s">
        <v>512</v>
      </c>
      <c r="C337" s="621" t="s">
        <v>527</v>
      </c>
    </row>
    <row r="338" spans="1:3" ht="13.5" thickBot="1">
      <c r="A338" s="622">
        <v>47119</v>
      </c>
      <c r="B338" s="623" t="s">
        <v>512</v>
      </c>
      <c r="C338" s="624" t="s">
        <v>513</v>
      </c>
    </row>
    <row r="339" spans="1:3" ht="13.5" thickBot="1">
      <c r="A339" s="619">
        <v>47161</v>
      </c>
      <c r="B339" s="620" t="s">
        <v>512</v>
      </c>
      <c r="C339" s="621" t="s">
        <v>514</v>
      </c>
    </row>
    <row r="340" spans="1:3" ht="13.5" thickBot="1">
      <c r="A340" s="619">
        <v>47162</v>
      </c>
      <c r="B340" s="620" t="s">
        <v>515</v>
      </c>
      <c r="C340" s="621" t="s">
        <v>514</v>
      </c>
    </row>
    <row r="341" spans="1:3" ht="13.5" thickBot="1">
      <c r="A341" s="619">
        <v>47207</v>
      </c>
      <c r="B341" s="620" t="s">
        <v>516</v>
      </c>
      <c r="C341" s="621" t="s">
        <v>517</v>
      </c>
    </row>
    <row r="342" spans="1:3" ht="13.5" thickBot="1">
      <c r="A342" s="619">
        <v>47229</v>
      </c>
      <c r="B342" s="620" t="s">
        <v>518</v>
      </c>
      <c r="C342" s="621" t="s">
        <v>519</v>
      </c>
    </row>
    <row r="343" spans="1:3" ht="13.5" thickBot="1">
      <c r="A343" s="619">
        <v>47239</v>
      </c>
      <c r="B343" s="620" t="s">
        <v>515</v>
      </c>
      <c r="C343" s="621" t="s">
        <v>520</v>
      </c>
    </row>
    <row r="344" spans="1:3" ht="13.5" thickBot="1">
      <c r="A344" s="619">
        <v>47269</v>
      </c>
      <c r="B344" s="620" t="s">
        <v>521</v>
      </c>
      <c r="C344" s="621" t="s">
        <v>522</v>
      </c>
    </row>
    <row r="345" spans="1:3" ht="13.5" thickBot="1">
      <c r="A345" s="619">
        <v>47368</v>
      </c>
      <c r="B345" s="620" t="s">
        <v>516</v>
      </c>
      <c r="C345" s="621" t="s">
        <v>523</v>
      </c>
    </row>
    <row r="346" spans="1:3" ht="14.25" thickBot="1">
      <c r="A346" s="619">
        <v>47403</v>
      </c>
      <c r="B346" s="620" t="s">
        <v>516</v>
      </c>
      <c r="C346" s="621" t="s">
        <v>524</v>
      </c>
    </row>
    <row r="347" spans="1:3" ht="13.5" thickBot="1">
      <c r="A347" s="619">
        <v>47424</v>
      </c>
      <c r="B347" s="620" t="s">
        <v>516</v>
      </c>
      <c r="C347" s="621" t="s">
        <v>525</v>
      </c>
    </row>
    <row r="348" spans="1:3" ht="13.5" thickBot="1">
      <c r="A348" s="619">
        <v>47437</v>
      </c>
      <c r="B348" s="620" t="s">
        <v>521</v>
      </c>
      <c r="C348" s="621" t="s">
        <v>526</v>
      </c>
    </row>
    <row r="349" spans="1:3" ht="13.5" thickBot="1">
      <c r="A349" s="619">
        <v>47477</v>
      </c>
      <c r="B349" s="620" t="s">
        <v>515</v>
      </c>
      <c r="C349" s="621" t="s">
        <v>527</v>
      </c>
    </row>
    <row r="350" spans="1:3" ht="13.5" thickBot="1">
      <c r="A350" s="622">
        <v>47484</v>
      </c>
      <c r="B350" s="623" t="s">
        <v>515</v>
      </c>
      <c r="C350" s="624" t="s">
        <v>513</v>
      </c>
    </row>
    <row r="351" spans="1:3" ht="13.5" thickBot="1">
      <c r="A351" s="619">
        <v>47546</v>
      </c>
      <c r="B351" s="620" t="s">
        <v>512</v>
      </c>
      <c r="C351" s="621" t="s">
        <v>514</v>
      </c>
    </row>
    <row r="352" spans="1:3" ht="13.5" thickBot="1">
      <c r="A352" s="619">
        <v>47547</v>
      </c>
      <c r="B352" s="620" t="s">
        <v>515</v>
      </c>
      <c r="C352" s="621" t="s">
        <v>514</v>
      </c>
    </row>
    <row r="353" spans="1:3" ht="13.5" thickBot="1">
      <c r="A353" s="619">
        <v>47592</v>
      </c>
      <c r="B353" s="620" t="s">
        <v>516</v>
      </c>
      <c r="C353" s="621" t="s">
        <v>517</v>
      </c>
    </row>
    <row r="354" spans="1:3" ht="13.5" thickBot="1">
      <c r="A354" s="619">
        <v>47594</v>
      </c>
      <c r="B354" s="620" t="s">
        <v>528</v>
      </c>
      <c r="C354" s="621" t="s">
        <v>519</v>
      </c>
    </row>
    <row r="355" spans="1:3" ht="13.5" thickBot="1">
      <c r="A355" s="619">
        <v>47604</v>
      </c>
      <c r="B355" s="620" t="s">
        <v>529</v>
      </c>
      <c r="C355" s="621" t="s">
        <v>520</v>
      </c>
    </row>
    <row r="356" spans="1:3" ht="13.5" thickBot="1">
      <c r="A356" s="619">
        <v>47654</v>
      </c>
      <c r="B356" s="620" t="s">
        <v>521</v>
      </c>
      <c r="C356" s="621" t="s">
        <v>522</v>
      </c>
    </row>
    <row r="357" spans="1:3" ht="13.5" thickBot="1">
      <c r="A357" s="619">
        <v>47733</v>
      </c>
      <c r="B357" s="620" t="s">
        <v>518</v>
      </c>
      <c r="C357" s="621" t="s">
        <v>523</v>
      </c>
    </row>
    <row r="358" spans="1:3" ht="14.25" thickBot="1">
      <c r="A358" s="619">
        <v>47768</v>
      </c>
      <c r="B358" s="620" t="s">
        <v>518</v>
      </c>
      <c r="C358" s="621" t="s">
        <v>524</v>
      </c>
    </row>
    <row r="359" spans="1:3" ht="13.5" thickBot="1">
      <c r="A359" s="619">
        <v>47789</v>
      </c>
      <c r="B359" s="620" t="s">
        <v>518</v>
      </c>
      <c r="C359" s="621" t="s">
        <v>525</v>
      </c>
    </row>
    <row r="360" spans="1:3" ht="13.5" thickBot="1">
      <c r="A360" s="619">
        <v>47802</v>
      </c>
      <c r="B360" s="620" t="s">
        <v>516</v>
      </c>
      <c r="C360" s="621" t="s">
        <v>526</v>
      </c>
    </row>
    <row r="361" spans="1:3" ht="13.5" thickBot="1">
      <c r="A361" s="619">
        <v>47842</v>
      </c>
      <c r="B361" s="620" t="s">
        <v>529</v>
      </c>
      <c r="C361" s="621" t="s">
        <v>527</v>
      </c>
    </row>
    <row r="362" spans="1:3" ht="13.5" thickBot="1">
      <c r="A362" s="622">
        <v>47849</v>
      </c>
      <c r="B362" s="623" t="s">
        <v>529</v>
      </c>
      <c r="C362" s="624" t="s">
        <v>513</v>
      </c>
    </row>
    <row r="363" spans="1:3" ht="13.5" thickBot="1">
      <c r="A363" s="619">
        <v>47903</v>
      </c>
      <c r="B363" s="620" t="s">
        <v>512</v>
      </c>
      <c r="C363" s="621" t="s">
        <v>514</v>
      </c>
    </row>
    <row r="364" spans="1:3" ht="13.5" thickBot="1">
      <c r="A364" s="619">
        <v>47904</v>
      </c>
      <c r="B364" s="620" t="s">
        <v>515</v>
      </c>
      <c r="C364" s="621" t="s">
        <v>514</v>
      </c>
    </row>
    <row r="365" spans="1:3" ht="13.5" thickBot="1">
      <c r="A365" s="619">
        <v>47949</v>
      </c>
      <c r="B365" s="620" t="s">
        <v>516</v>
      </c>
      <c r="C365" s="621" t="s">
        <v>517</v>
      </c>
    </row>
    <row r="366" spans="1:3" ht="13.5" thickBot="1">
      <c r="A366" s="619">
        <v>47959</v>
      </c>
      <c r="B366" s="620" t="s">
        <v>512</v>
      </c>
      <c r="C366" s="621" t="s">
        <v>519</v>
      </c>
    </row>
    <row r="367" spans="1:3" ht="13.5" thickBot="1">
      <c r="A367" s="619">
        <v>47969</v>
      </c>
      <c r="B367" s="620" t="s">
        <v>521</v>
      </c>
      <c r="C367" s="621" t="s">
        <v>520</v>
      </c>
    </row>
    <row r="368" spans="1:3" ht="13.5" thickBot="1">
      <c r="A368" s="619">
        <v>48011</v>
      </c>
      <c r="B368" s="620" t="s">
        <v>521</v>
      </c>
      <c r="C368" s="621" t="s">
        <v>522</v>
      </c>
    </row>
    <row r="369" spans="1:3" ht="13.5" thickBot="1">
      <c r="A369" s="619">
        <v>48098</v>
      </c>
      <c r="B369" s="620" t="s">
        <v>528</v>
      </c>
      <c r="C369" s="621" t="s">
        <v>523</v>
      </c>
    </row>
    <row r="370" spans="1:3" ht="14.25" thickBot="1">
      <c r="A370" s="619">
        <v>48133</v>
      </c>
      <c r="B370" s="620" t="s">
        <v>528</v>
      </c>
      <c r="C370" s="621" t="s">
        <v>524</v>
      </c>
    </row>
    <row r="371" spans="1:3" ht="13.5" thickBot="1">
      <c r="A371" s="619">
        <v>48154</v>
      </c>
      <c r="B371" s="620" t="s">
        <v>528</v>
      </c>
      <c r="C371" s="621" t="s">
        <v>525</v>
      </c>
    </row>
    <row r="372" spans="1:3" ht="13.5" thickBot="1">
      <c r="A372" s="619">
        <v>48167</v>
      </c>
      <c r="B372" s="620" t="s">
        <v>518</v>
      </c>
      <c r="C372" s="621" t="s">
        <v>526</v>
      </c>
    </row>
    <row r="373" spans="1:3" ht="13.5" thickBot="1">
      <c r="A373" s="619">
        <v>48207</v>
      </c>
      <c r="B373" s="620" t="s">
        <v>521</v>
      </c>
      <c r="C373" s="621" t="s">
        <v>527</v>
      </c>
    </row>
    <row r="374" spans="1:3" ht="13.5" thickBot="1">
      <c r="A374" s="622">
        <v>48214</v>
      </c>
      <c r="B374" s="623" t="s">
        <v>521</v>
      </c>
      <c r="C374" s="624" t="s">
        <v>513</v>
      </c>
    </row>
    <row r="375" spans="1:3" ht="13.5" thickBot="1">
      <c r="A375" s="619">
        <v>48253</v>
      </c>
      <c r="B375" s="620" t="s">
        <v>512</v>
      </c>
      <c r="C375" s="621" t="s">
        <v>514</v>
      </c>
    </row>
    <row r="376" spans="1:3" ht="13.5" thickBot="1">
      <c r="A376" s="619">
        <v>48254</v>
      </c>
      <c r="B376" s="620" t="s">
        <v>515</v>
      </c>
      <c r="C376" s="621" t="s">
        <v>514</v>
      </c>
    </row>
    <row r="377" spans="1:3" ht="13.5" thickBot="1">
      <c r="A377" s="619">
        <v>48299</v>
      </c>
      <c r="B377" s="620" t="s">
        <v>516</v>
      </c>
      <c r="C377" s="621" t="s">
        <v>517</v>
      </c>
    </row>
    <row r="378" spans="1:3" ht="13.5" thickBot="1">
      <c r="A378" s="619">
        <v>48325</v>
      </c>
      <c r="B378" s="620" t="s">
        <v>529</v>
      </c>
      <c r="C378" s="621" t="s">
        <v>519</v>
      </c>
    </row>
    <row r="379" spans="1:3" ht="13.5" thickBot="1">
      <c r="A379" s="619">
        <v>48335</v>
      </c>
      <c r="B379" s="620" t="s">
        <v>518</v>
      </c>
      <c r="C379" s="621" t="s">
        <v>520</v>
      </c>
    </row>
    <row r="380" spans="1:3" ht="13.5" thickBot="1">
      <c r="A380" s="619">
        <v>48361</v>
      </c>
      <c r="B380" s="620" t="s">
        <v>521</v>
      </c>
      <c r="C380" s="621" t="s">
        <v>522</v>
      </c>
    </row>
    <row r="381" spans="1:3" ht="13.5" thickBot="1">
      <c r="A381" s="619">
        <v>48464</v>
      </c>
      <c r="B381" s="620" t="s">
        <v>515</v>
      </c>
      <c r="C381" s="621" t="s">
        <v>523</v>
      </c>
    </row>
    <row r="382" spans="1:3" ht="14.25" thickBot="1">
      <c r="A382" s="619">
        <v>48499</v>
      </c>
      <c r="B382" s="620" t="s">
        <v>515</v>
      </c>
      <c r="C382" s="621" t="s">
        <v>524</v>
      </c>
    </row>
    <row r="383" spans="1:3" ht="13.5" thickBot="1">
      <c r="A383" s="619">
        <v>48520</v>
      </c>
      <c r="B383" s="620" t="s">
        <v>515</v>
      </c>
      <c r="C383" s="621" t="s">
        <v>525</v>
      </c>
    </row>
    <row r="384" spans="1:3" ht="13.5" thickBot="1">
      <c r="A384" s="619">
        <v>48533</v>
      </c>
      <c r="B384" s="620" t="s">
        <v>512</v>
      </c>
      <c r="C384" s="621" t="s">
        <v>526</v>
      </c>
    </row>
    <row r="385" spans="1:3" ht="13.5" thickBot="1">
      <c r="A385" s="619">
        <v>48573</v>
      </c>
      <c r="B385" s="620" t="s">
        <v>518</v>
      </c>
      <c r="C385" s="621" t="s">
        <v>527</v>
      </c>
    </row>
    <row r="386" spans="1:3" ht="13.5" thickBot="1">
      <c r="A386" s="622">
        <v>48580</v>
      </c>
      <c r="B386" s="623" t="s">
        <v>518</v>
      </c>
      <c r="C386" s="624" t="s">
        <v>513</v>
      </c>
    </row>
    <row r="387" spans="1:3" ht="13.5" thickBot="1">
      <c r="A387" s="619">
        <v>48638</v>
      </c>
      <c r="B387" s="620" t="s">
        <v>512</v>
      </c>
      <c r="C387" s="621" t="s">
        <v>514</v>
      </c>
    </row>
    <row r="388" spans="1:3" ht="13.5" thickBot="1">
      <c r="A388" s="619">
        <v>48639</v>
      </c>
      <c r="B388" s="620" t="s">
        <v>515</v>
      </c>
      <c r="C388" s="621" t="s">
        <v>514</v>
      </c>
    </row>
    <row r="389" spans="1:3" ht="13.5" thickBot="1">
      <c r="A389" s="619">
        <v>48684</v>
      </c>
      <c r="B389" s="620" t="s">
        <v>516</v>
      </c>
      <c r="C389" s="621" t="s">
        <v>517</v>
      </c>
    </row>
    <row r="390" spans="1:3" ht="13.5" thickBot="1">
      <c r="A390" s="619">
        <v>48690</v>
      </c>
      <c r="B390" s="620" t="s">
        <v>521</v>
      </c>
      <c r="C390" s="621" t="s">
        <v>519</v>
      </c>
    </row>
    <row r="391" spans="1:3" ht="13.5" thickBot="1">
      <c r="A391" s="619">
        <v>48700</v>
      </c>
      <c r="B391" s="620" t="s">
        <v>528</v>
      </c>
      <c r="C391" s="621" t="s">
        <v>520</v>
      </c>
    </row>
    <row r="392" spans="1:3" ht="13.5" thickBot="1">
      <c r="A392" s="619">
        <v>48746</v>
      </c>
      <c r="B392" s="620" t="s">
        <v>521</v>
      </c>
      <c r="C392" s="621" t="s">
        <v>522</v>
      </c>
    </row>
    <row r="393" spans="1:3" ht="13.5" thickBot="1">
      <c r="A393" s="619">
        <v>48829</v>
      </c>
      <c r="B393" s="620" t="s">
        <v>529</v>
      </c>
      <c r="C393" s="621" t="s">
        <v>523</v>
      </c>
    </row>
    <row r="394" spans="1:3" ht="14.25" thickBot="1">
      <c r="A394" s="619">
        <v>48864</v>
      </c>
      <c r="B394" s="620" t="s">
        <v>529</v>
      </c>
      <c r="C394" s="621" t="s">
        <v>524</v>
      </c>
    </row>
    <row r="395" spans="1:3" ht="13.5" thickBot="1">
      <c r="A395" s="619">
        <v>48885</v>
      </c>
      <c r="B395" s="620" t="s">
        <v>529</v>
      </c>
      <c r="C395" s="621" t="s">
        <v>525</v>
      </c>
    </row>
    <row r="396" spans="1:3" ht="13.5" thickBot="1">
      <c r="A396" s="619">
        <v>48898</v>
      </c>
      <c r="B396" s="620" t="s">
        <v>515</v>
      </c>
      <c r="C396" s="621" t="s">
        <v>526</v>
      </c>
    </row>
    <row r="397" spans="1:3" ht="13.5" thickBot="1">
      <c r="A397" s="619">
        <v>48938</v>
      </c>
      <c r="B397" s="620" t="s">
        <v>528</v>
      </c>
      <c r="C397" s="621" t="s">
        <v>527</v>
      </c>
    </row>
    <row r="398" spans="1:3" ht="13.5" thickBot="1">
      <c r="A398" s="622">
        <v>48945</v>
      </c>
      <c r="B398" s="623" t="s">
        <v>528</v>
      </c>
      <c r="C398" s="624" t="s">
        <v>513</v>
      </c>
    </row>
    <row r="399" spans="1:3" ht="13.5" thickBot="1">
      <c r="A399" s="619">
        <v>48995</v>
      </c>
      <c r="B399" s="620" t="s">
        <v>512</v>
      </c>
      <c r="C399" s="621" t="s">
        <v>514</v>
      </c>
    </row>
    <row r="400" spans="1:3" ht="13.5" thickBot="1">
      <c r="A400" s="619">
        <v>48996</v>
      </c>
      <c r="B400" s="620" t="s">
        <v>515</v>
      </c>
      <c r="C400" s="621" t="s">
        <v>514</v>
      </c>
    </row>
    <row r="401" spans="1:3" ht="13.5" thickBot="1">
      <c r="A401" s="619">
        <v>49041</v>
      </c>
      <c r="B401" s="620" t="s">
        <v>516</v>
      </c>
      <c r="C401" s="621" t="s">
        <v>517</v>
      </c>
    </row>
    <row r="402" spans="1:3" ht="13.5" thickBot="1">
      <c r="A402" s="619">
        <v>49055</v>
      </c>
      <c r="B402" s="620" t="s">
        <v>516</v>
      </c>
      <c r="C402" s="621" t="s">
        <v>519</v>
      </c>
    </row>
    <row r="403" spans="1:3" ht="13.5" thickBot="1">
      <c r="A403" s="619">
        <v>49065</v>
      </c>
      <c r="B403" s="620" t="s">
        <v>512</v>
      </c>
      <c r="C403" s="621" t="s">
        <v>520</v>
      </c>
    </row>
    <row r="404" spans="1:3" ht="13.5" thickBot="1">
      <c r="A404" s="619">
        <v>49103</v>
      </c>
      <c r="B404" s="620" t="s">
        <v>521</v>
      </c>
      <c r="C404" s="621" t="s">
        <v>522</v>
      </c>
    </row>
    <row r="405" spans="1:3" ht="13.5" thickBot="1">
      <c r="A405" s="619">
        <v>49194</v>
      </c>
      <c r="B405" s="620" t="s">
        <v>521</v>
      </c>
      <c r="C405" s="621" t="s">
        <v>523</v>
      </c>
    </row>
    <row r="406" spans="1:3" ht="14.25" thickBot="1">
      <c r="A406" s="619">
        <v>49229</v>
      </c>
      <c r="B406" s="620" t="s">
        <v>521</v>
      </c>
      <c r="C406" s="621" t="s">
        <v>524</v>
      </c>
    </row>
    <row r="407" spans="1:3" ht="13.5" thickBot="1">
      <c r="A407" s="619">
        <v>49250</v>
      </c>
      <c r="B407" s="620" t="s">
        <v>521</v>
      </c>
      <c r="C407" s="621" t="s">
        <v>525</v>
      </c>
    </row>
    <row r="408" spans="1:3" ht="13.5" thickBot="1">
      <c r="A408" s="619">
        <v>49263</v>
      </c>
      <c r="B408" s="620" t="s">
        <v>529</v>
      </c>
      <c r="C408" s="621" t="s">
        <v>526</v>
      </c>
    </row>
    <row r="409" spans="1:3" ht="13.5" thickBot="1">
      <c r="A409" s="619">
        <v>49303</v>
      </c>
      <c r="B409" s="620" t="s">
        <v>512</v>
      </c>
      <c r="C409" s="621" t="s">
        <v>527</v>
      </c>
    </row>
    <row r="410" spans="1:3" ht="13.5" thickBot="1">
      <c r="A410" s="622">
        <v>49310</v>
      </c>
      <c r="B410" s="623" t="s">
        <v>512</v>
      </c>
      <c r="C410" s="624" t="s">
        <v>513</v>
      </c>
    </row>
    <row r="411" spans="1:3" ht="13.5" thickBot="1">
      <c r="A411" s="619">
        <v>49345</v>
      </c>
      <c r="B411" s="620" t="s">
        <v>512</v>
      </c>
      <c r="C411" s="621" t="s">
        <v>514</v>
      </c>
    </row>
    <row r="412" spans="1:3" ht="13.5" thickBot="1">
      <c r="A412" s="619">
        <v>49346</v>
      </c>
      <c r="B412" s="620" t="s">
        <v>515</v>
      </c>
      <c r="C412" s="621" t="s">
        <v>514</v>
      </c>
    </row>
    <row r="413" spans="1:3" ht="13.5" thickBot="1">
      <c r="A413" s="619">
        <v>49391</v>
      </c>
      <c r="B413" s="620" t="s">
        <v>516</v>
      </c>
      <c r="C413" s="621" t="s">
        <v>517</v>
      </c>
    </row>
    <row r="414" spans="1:3" ht="13.5" thickBot="1">
      <c r="A414" s="619">
        <v>49420</v>
      </c>
      <c r="B414" s="620" t="s">
        <v>518</v>
      </c>
      <c r="C414" s="621" t="s">
        <v>519</v>
      </c>
    </row>
    <row r="415" spans="1:3" ht="13.5" thickBot="1">
      <c r="A415" s="619">
        <v>49430</v>
      </c>
      <c r="B415" s="620" t="s">
        <v>515</v>
      </c>
      <c r="C415" s="621" t="s">
        <v>520</v>
      </c>
    </row>
    <row r="416" spans="1:3" ht="13.5" thickBot="1">
      <c r="A416" s="619">
        <v>49453</v>
      </c>
      <c r="B416" s="620" t="s">
        <v>521</v>
      </c>
      <c r="C416" s="621" t="s">
        <v>522</v>
      </c>
    </row>
    <row r="417" spans="1:3" ht="13.5" thickBot="1">
      <c r="A417" s="619">
        <v>49559</v>
      </c>
      <c r="B417" s="620" t="s">
        <v>516</v>
      </c>
      <c r="C417" s="621" t="s">
        <v>523</v>
      </c>
    </row>
    <row r="418" spans="1:3" ht="14.25" thickBot="1">
      <c r="A418" s="619">
        <v>49594</v>
      </c>
      <c r="B418" s="620" t="s">
        <v>516</v>
      </c>
      <c r="C418" s="621" t="s">
        <v>524</v>
      </c>
    </row>
    <row r="419" spans="1:3" ht="13.5" thickBot="1">
      <c r="A419" s="619">
        <v>49615</v>
      </c>
      <c r="B419" s="620" t="s">
        <v>516</v>
      </c>
      <c r="C419" s="621" t="s">
        <v>525</v>
      </c>
    </row>
    <row r="420" spans="1:3" ht="13.5" thickBot="1">
      <c r="A420" s="619">
        <v>49628</v>
      </c>
      <c r="B420" s="620" t="s">
        <v>521</v>
      </c>
      <c r="C420" s="621" t="s">
        <v>526</v>
      </c>
    </row>
    <row r="421" spans="1:3" ht="13.5" thickBot="1">
      <c r="A421" s="619">
        <v>49668</v>
      </c>
      <c r="B421" s="620" t="s">
        <v>515</v>
      </c>
      <c r="C421" s="621" t="s">
        <v>527</v>
      </c>
    </row>
    <row r="422" spans="1:3" ht="13.5" thickBot="1">
      <c r="A422" s="622">
        <v>49675</v>
      </c>
      <c r="B422" s="623" t="s">
        <v>515</v>
      </c>
      <c r="C422" s="624" t="s">
        <v>513</v>
      </c>
    </row>
    <row r="423" spans="1:3" ht="13.5" thickBot="1">
      <c r="A423" s="619">
        <v>49730</v>
      </c>
      <c r="B423" s="620" t="s">
        <v>512</v>
      </c>
      <c r="C423" s="621" t="s">
        <v>514</v>
      </c>
    </row>
    <row r="424" spans="1:3" ht="13.5" thickBot="1">
      <c r="A424" s="619">
        <v>49731</v>
      </c>
      <c r="B424" s="620" t="s">
        <v>515</v>
      </c>
      <c r="C424" s="621" t="s">
        <v>514</v>
      </c>
    </row>
    <row r="425" spans="1:3" ht="13.5" thickBot="1">
      <c r="A425" s="619">
        <v>49776</v>
      </c>
      <c r="B425" s="620" t="s">
        <v>516</v>
      </c>
      <c r="C425" s="621" t="s">
        <v>517</v>
      </c>
    </row>
    <row r="426" spans="1:3" ht="13.5" thickBot="1">
      <c r="A426" s="619">
        <v>49786</v>
      </c>
      <c r="B426" s="620" t="s">
        <v>512</v>
      </c>
      <c r="C426" s="621" t="s">
        <v>519</v>
      </c>
    </row>
    <row r="427" spans="1:3" ht="13.5" thickBot="1">
      <c r="A427" s="619">
        <v>49796</v>
      </c>
      <c r="B427" s="620" t="s">
        <v>521</v>
      </c>
      <c r="C427" s="621" t="s">
        <v>520</v>
      </c>
    </row>
    <row r="428" spans="1:3" ht="13.5" thickBot="1">
      <c r="A428" s="619">
        <v>49838</v>
      </c>
      <c r="B428" s="620" t="s">
        <v>521</v>
      </c>
      <c r="C428" s="621" t="s">
        <v>522</v>
      </c>
    </row>
    <row r="429" spans="1:3" ht="13.5" thickBot="1">
      <c r="A429" s="619">
        <v>49925</v>
      </c>
      <c r="B429" s="620" t="s">
        <v>528</v>
      </c>
      <c r="C429" s="621" t="s">
        <v>523</v>
      </c>
    </row>
    <row r="430" spans="1:3" ht="14.25" thickBot="1">
      <c r="A430" s="619">
        <v>49960</v>
      </c>
      <c r="B430" s="620" t="s">
        <v>528</v>
      </c>
      <c r="C430" s="621" t="s">
        <v>524</v>
      </c>
    </row>
    <row r="431" spans="1:3" ht="13.5" thickBot="1">
      <c r="A431" s="619">
        <v>49981</v>
      </c>
      <c r="B431" s="620" t="s">
        <v>528</v>
      </c>
      <c r="C431" s="621" t="s">
        <v>525</v>
      </c>
    </row>
    <row r="432" spans="1:3" ht="13.5" thickBot="1">
      <c r="A432" s="619">
        <v>49994</v>
      </c>
      <c r="B432" s="620" t="s">
        <v>518</v>
      </c>
      <c r="C432" s="621" t="s">
        <v>526</v>
      </c>
    </row>
    <row r="433" spans="1:3" ht="13.5" thickBot="1">
      <c r="A433" s="619">
        <v>50034</v>
      </c>
      <c r="B433" s="620" t="s">
        <v>521</v>
      </c>
      <c r="C433" s="621" t="s">
        <v>527</v>
      </c>
    </row>
    <row r="434" spans="1:3" ht="13.5" thickBot="1">
      <c r="A434" s="622">
        <v>50041</v>
      </c>
      <c r="B434" s="623" t="s">
        <v>521</v>
      </c>
      <c r="C434" s="624" t="s">
        <v>513</v>
      </c>
    </row>
    <row r="435" spans="1:3" ht="13.5" thickBot="1">
      <c r="A435" s="619">
        <v>50087</v>
      </c>
      <c r="B435" s="620" t="s">
        <v>512</v>
      </c>
      <c r="C435" s="621" t="s">
        <v>514</v>
      </c>
    </row>
    <row r="436" spans="1:3" ht="13.5" thickBot="1">
      <c r="A436" s="619">
        <v>50088</v>
      </c>
      <c r="B436" s="620" t="s">
        <v>515</v>
      </c>
      <c r="C436" s="621" t="s">
        <v>514</v>
      </c>
    </row>
    <row r="437" spans="1:3" ht="13.5" thickBot="1">
      <c r="A437" s="619">
        <v>50133</v>
      </c>
      <c r="B437" s="620" t="s">
        <v>516</v>
      </c>
      <c r="C437" s="621" t="s">
        <v>517</v>
      </c>
    </row>
    <row r="438" spans="1:3" ht="13.5" thickBot="1">
      <c r="A438" s="619">
        <v>50151</v>
      </c>
      <c r="B438" s="620" t="s">
        <v>515</v>
      </c>
      <c r="C438" s="621" t="s">
        <v>519</v>
      </c>
    </row>
    <row r="439" spans="1:3" ht="13.5" thickBot="1">
      <c r="A439" s="619">
        <v>50161</v>
      </c>
      <c r="B439" s="620" t="s">
        <v>516</v>
      </c>
      <c r="C439" s="621" t="s">
        <v>520</v>
      </c>
    </row>
    <row r="440" spans="1:3" ht="13.5" thickBot="1">
      <c r="A440" s="619">
        <v>50195</v>
      </c>
      <c r="B440" s="620" t="s">
        <v>521</v>
      </c>
      <c r="C440" s="621" t="s">
        <v>522</v>
      </c>
    </row>
    <row r="441" spans="1:3" ht="13.5" thickBot="1">
      <c r="A441" s="619">
        <v>50290</v>
      </c>
      <c r="B441" s="620" t="s">
        <v>512</v>
      </c>
      <c r="C441" s="621" t="s">
        <v>523</v>
      </c>
    </row>
    <row r="442" spans="1:3" ht="14.25" thickBot="1">
      <c r="A442" s="619">
        <v>50325</v>
      </c>
      <c r="B442" s="620" t="s">
        <v>512</v>
      </c>
      <c r="C442" s="621" t="s">
        <v>524</v>
      </c>
    </row>
    <row r="443" spans="1:3" ht="13.5" thickBot="1">
      <c r="A443" s="619">
        <v>50346</v>
      </c>
      <c r="B443" s="620" t="s">
        <v>512</v>
      </c>
      <c r="C443" s="621" t="s">
        <v>525</v>
      </c>
    </row>
    <row r="444" spans="1:3" ht="13.5" thickBot="1">
      <c r="A444" s="619">
        <v>50359</v>
      </c>
      <c r="B444" s="620" t="s">
        <v>528</v>
      </c>
      <c r="C444" s="621" t="s">
        <v>526</v>
      </c>
    </row>
    <row r="445" spans="1:3" ht="13.5" thickBot="1">
      <c r="A445" s="619">
        <v>50399</v>
      </c>
      <c r="B445" s="620" t="s">
        <v>516</v>
      </c>
      <c r="C445" s="621" t="s">
        <v>527</v>
      </c>
    </row>
    <row r="446" spans="1:3" ht="13.5" thickBot="1">
      <c r="A446" s="622">
        <v>50406</v>
      </c>
      <c r="B446" s="623" t="s">
        <v>516</v>
      </c>
      <c r="C446" s="624" t="s">
        <v>513</v>
      </c>
    </row>
    <row r="447" spans="1:3" ht="13.5" thickBot="1">
      <c r="A447" s="619">
        <v>50472</v>
      </c>
      <c r="B447" s="620" t="s">
        <v>512</v>
      </c>
      <c r="C447" s="621" t="s">
        <v>514</v>
      </c>
    </row>
    <row r="448" spans="1:3" ht="13.5" thickBot="1">
      <c r="A448" s="619">
        <v>50473</v>
      </c>
      <c r="B448" s="620" t="s">
        <v>515</v>
      </c>
      <c r="C448" s="621" t="s">
        <v>514</v>
      </c>
    </row>
    <row r="449" spans="1:3" ht="13.5" thickBot="1">
      <c r="A449" s="619">
        <v>50516</v>
      </c>
      <c r="B449" s="620" t="s">
        <v>529</v>
      </c>
      <c r="C449" s="621" t="s">
        <v>519</v>
      </c>
    </row>
    <row r="450" spans="1:3" ht="13.5" thickBot="1">
      <c r="A450" s="619">
        <v>50518</v>
      </c>
      <c r="B450" s="620" t="s">
        <v>516</v>
      </c>
      <c r="C450" s="621" t="s">
        <v>517</v>
      </c>
    </row>
    <row r="451" spans="1:3" ht="13.5" thickBot="1">
      <c r="A451" s="619">
        <v>50526</v>
      </c>
      <c r="B451" s="620" t="s">
        <v>518</v>
      </c>
      <c r="C451" s="621" t="s">
        <v>520</v>
      </c>
    </row>
    <row r="452" spans="1:3" ht="13.5" thickBot="1">
      <c r="A452" s="619">
        <v>50580</v>
      </c>
      <c r="B452" s="620" t="s">
        <v>521</v>
      </c>
      <c r="C452" s="621" t="s">
        <v>522</v>
      </c>
    </row>
    <row r="453" spans="1:3" ht="13.5" thickBot="1">
      <c r="A453" s="619">
        <v>50655</v>
      </c>
      <c r="B453" s="620" t="s">
        <v>515</v>
      </c>
      <c r="C453" s="621" t="s">
        <v>523</v>
      </c>
    </row>
    <row r="454" spans="1:3" ht="14.25" thickBot="1">
      <c r="A454" s="619">
        <v>50690</v>
      </c>
      <c r="B454" s="620" t="s">
        <v>515</v>
      </c>
      <c r="C454" s="621" t="s">
        <v>524</v>
      </c>
    </row>
    <row r="455" spans="1:3" ht="13.5" thickBot="1">
      <c r="A455" s="619">
        <v>50711</v>
      </c>
      <c r="B455" s="620" t="s">
        <v>515</v>
      </c>
      <c r="C455" s="621" t="s">
        <v>525</v>
      </c>
    </row>
    <row r="456" spans="1:3" ht="13.5" thickBot="1">
      <c r="A456" s="619">
        <v>50724</v>
      </c>
      <c r="B456" s="620" t="s">
        <v>512</v>
      </c>
      <c r="C456" s="621" t="s">
        <v>526</v>
      </c>
    </row>
    <row r="457" spans="1:3" ht="13.5" thickBot="1">
      <c r="A457" s="619">
        <v>50764</v>
      </c>
      <c r="B457" s="620" t="s">
        <v>518</v>
      </c>
      <c r="C457" s="621" t="s">
        <v>527</v>
      </c>
    </row>
    <row r="458" spans="1:3" ht="13.5" thickBot="1">
      <c r="A458" s="622">
        <v>50771</v>
      </c>
      <c r="B458" s="623" t="s">
        <v>518</v>
      </c>
      <c r="C458" s="624" t="s">
        <v>513</v>
      </c>
    </row>
    <row r="459" spans="1:3" ht="13.5" thickBot="1">
      <c r="A459" s="619">
        <v>50822</v>
      </c>
      <c r="B459" s="620" t="s">
        <v>512</v>
      </c>
      <c r="C459" s="621" t="s">
        <v>514</v>
      </c>
    </row>
    <row r="460" spans="1:3" ht="13.5" thickBot="1">
      <c r="A460" s="619">
        <v>50823</v>
      </c>
      <c r="B460" s="620" t="s">
        <v>515</v>
      </c>
      <c r="C460" s="621" t="s">
        <v>514</v>
      </c>
    </row>
    <row r="461" spans="1:3" ht="13.5" thickBot="1">
      <c r="A461" s="619">
        <v>50868</v>
      </c>
      <c r="B461" s="620" t="s">
        <v>516</v>
      </c>
      <c r="C461" s="621" t="s">
        <v>517</v>
      </c>
    </row>
    <row r="462" spans="1:3" ht="13.5" thickBot="1">
      <c r="A462" s="619">
        <v>50881</v>
      </c>
      <c r="B462" s="620" t="s">
        <v>521</v>
      </c>
      <c r="C462" s="621" t="s">
        <v>519</v>
      </c>
    </row>
    <row r="463" spans="1:3" ht="13.5" thickBot="1">
      <c r="A463" s="619">
        <v>50891</v>
      </c>
      <c r="B463" s="620" t="s">
        <v>528</v>
      </c>
      <c r="C463" s="621" t="s">
        <v>520</v>
      </c>
    </row>
    <row r="464" spans="1:3" ht="13.5" thickBot="1">
      <c r="A464" s="619">
        <v>50930</v>
      </c>
      <c r="B464" s="620" t="s">
        <v>521</v>
      </c>
      <c r="C464" s="621" t="s">
        <v>522</v>
      </c>
    </row>
    <row r="465" spans="1:3" ht="13.5" thickBot="1">
      <c r="A465" s="619">
        <v>51020</v>
      </c>
      <c r="B465" s="620" t="s">
        <v>529</v>
      </c>
      <c r="C465" s="621" t="s">
        <v>523</v>
      </c>
    </row>
    <row r="466" spans="1:3" ht="14.25" thickBot="1">
      <c r="A466" s="619">
        <v>51055</v>
      </c>
      <c r="B466" s="620" t="s">
        <v>529</v>
      </c>
      <c r="C466" s="621" t="s">
        <v>524</v>
      </c>
    </row>
    <row r="467" spans="1:3" ht="13.5" thickBot="1">
      <c r="A467" s="619">
        <v>51076</v>
      </c>
      <c r="B467" s="620" t="s">
        <v>529</v>
      </c>
      <c r="C467" s="621" t="s">
        <v>525</v>
      </c>
    </row>
    <row r="468" spans="1:3" ht="13.5" thickBot="1">
      <c r="A468" s="619">
        <v>51089</v>
      </c>
      <c r="B468" s="620" t="s">
        <v>515</v>
      </c>
      <c r="C468" s="621" t="s">
        <v>526</v>
      </c>
    </row>
    <row r="469" spans="1:3" ht="13.5" thickBot="1">
      <c r="A469" s="619">
        <v>51129</v>
      </c>
      <c r="B469" s="620" t="s">
        <v>528</v>
      </c>
      <c r="C469" s="621" t="s">
        <v>527</v>
      </c>
    </row>
    <row r="470" spans="1:3" ht="13.5" thickBot="1">
      <c r="A470" s="622">
        <v>51136</v>
      </c>
      <c r="B470" s="623" t="s">
        <v>528</v>
      </c>
      <c r="C470" s="624" t="s">
        <v>513</v>
      </c>
    </row>
    <row r="471" spans="1:3" ht="13.5" thickBot="1">
      <c r="A471" s="619">
        <v>51179</v>
      </c>
      <c r="B471" s="620" t="s">
        <v>512</v>
      </c>
      <c r="C471" s="621" t="s">
        <v>514</v>
      </c>
    </row>
    <row r="472" spans="1:3" ht="13.5" thickBot="1">
      <c r="A472" s="619">
        <v>51180</v>
      </c>
      <c r="B472" s="620" t="s">
        <v>515</v>
      </c>
      <c r="C472" s="621" t="s">
        <v>514</v>
      </c>
    </row>
    <row r="473" spans="1:3" ht="13.5" thickBot="1">
      <c r="A473" s="619">
        <v>51225</v>
      </c>
      <c r="B473" s="620" t="s">
        <v>516</v>
      </c>
      <c r="C473" s="621" t="s">
        <v>517</v>
      </c>
    </row>
    <row r="474" spans="1:3" ht="13.5" thickBot="1">
      <c r="A474" s="619">
        <v>51247</v>
      </c>
      <c r="B474" s="620" t="s">
        <v>518</v>
      </c>
      <c r="C474" s="621" t="s">
        <v>519</v>
      </c>
    </row>
    <row r="475" spans="1:3" ht="13.5" thickBot="1">
      <c r="A475" s="619">
        <v>51257</v>
      </c>
      <c r="B475" s="620" t="s">
        <v>515</v>
      </c>
      <c r="C475" s="621" t="s">
        <v>520</v>
      </c>
    </row>
    <row r="476" spans="1:3" ht="13.5" thickBot="1">
      <c r="A476" s="619">
        <v>51287</v>
      </c>
      <c r="B476" s="620" t="s">
        <v>521</v>
      </c>
      <c r="C476" s="621" t="s">
        <v>522</v>
      </c>
    </row>
    <row r="477" spans="1:3" ht="13.5" thickBot="1">
      <c r="A477" s="619">
        <v>51386</v>
      </c>
      <c r="B477" s="620" t="s">
        <v>516</v>
      </c>
      <c r="C477" s="621" t="s">
        <v>523</v>
      </c>
    </row>
    <row r="478" spans="1:3" ht="14.25" thickBot="1">
      <c r="A478" s="619">
        <v>51421</v>
      </c>
      <c r="B478" s="620" t="s">
        <v>516</v>
      </c>
      <c r="C478" s="621" t="s">
        <v>524</v>
      </c>
    </row>
    <row r="479" spans="1:3" ht="13.5" thickBot="1">
      <c r="A479" s="619">
        <v>51442</v>
      </c>
      <c r="B479" s="620" t="s">
        <v>516</v>
      </c>
      <c r="C479" s="621" t="s">
        <v>525</v>
      </c>
    </row>
    <row r="480" spans="1:3" ht="13.5" thickBot="1">
      <c r="A480" s="619">
        <v>51455</v>
      </c>
      <c r="B480" s="620" t="s">
        <v>521</v>
      </c>
      <c r="C480" s="621" t="s">
        <v>526</v>
      </c>
    </row>
    <row r="481" spans="1:3" ht="13.5" thickBot="1">
      <c r="A481" s="619">
        <v>51495</v>
      </c>
      <c r="B481" s="620" t="s">
        <v>515</v>
      </c>
      <c r="C481" s="621" t="s">
        <v>527</v>
      </c>
    </row>
    <row r="482" spans="1:3" ht="13.5" thickBot="1">
      <c r="A482" s="622">
        <v>51502</v>
      </c>
      <c r="B482" s="623" t="s">
        <v>515</v>
      </c>
      <c r="C482" s="624" t="s">
        <v>513</v>
      </c>
    </row>
    <row r="483" spans="1:3" ht="13.5" thickBot="1">
      <c r="A483" s="619">
        <v>51564</v>
      </c>
      <c r="B483" s="620" t="s">
        <v>512</v>
      </c>
      <c r="C483" s="621" t="s">
        <v>514</v>
      </c>
    </row>
    <row r="484" spans="1:3" ht="13.5" thickBot="1">
      <c r="A484" s="619">
        <v>51565</v>
      </c>
      <c r="B484" s="620" t="s">
        <v>515</v>
      </c>
      <c r="C484" s="621" t="s">
        <v>514</v>
      </c>
    </row>
    <row r="485" spans="1:3" ht="13.5" thickBot="1">
      <c r="A485" s="619">
        <v>51610</v>
      </c>
      <c r="B485" s="620" t="s">
        <v>516</v>
      </c>
      <c r="C485" s="621" t="s">
        <v>517</v>
      </c>
    </row>
    <row r="486" spans="1:3" ht="13.5" thickBot="1">
      <c r="A486" s="619">
        <v>51612</v>
      </c>
      <c r="B486" s="620" t="s">
        <v>528</v>
      </c>
      <c r="C486" s="621" t="s">
        <v>519</v>
      </c>
    </row>
    <row r="487" spans="1:3" ht="13.5" thickBot="1">
      <c r="A487" s="619">
        <v>51622</v>
      </c>
      <c r="B487" s="620" t="s">
        <v>529</v>
      </c>
      <c r="C487" s="621" t="s">
        <v>520</v>
      </c>
    </row>
    <row r="488" spans="1:3" ht="13.5" thickBot="1">
      <c r="A488" s="619">
        <v>51672</v>
      </c>
      <c r="B488" s="620" t="s">
        <v>521</v>
      </c>
      <c r="C488" s="621" t="s">
        <v>522</v>
      </c>
    </row>
    <row r="489" spans="1:3" ht="13.5" thickBot="1">
      <c r="A489" s="619">
        <v>51751</v>
      </c>
      <c r="B489" s="620" t="s">
        <v>518</v>
      </c>
      <c r="C489" s="621" t="s">
        <v>523</v>
      </c>
    </row>
    <row r="490" spans="1:3" ht="14.25" thickBot="1">
      <c r="A490" s="619">
        <v>51786</v>
      </c>
      <c r="B490" s="620" t="s">
        <v>518</v>
      </c>
      <c r="C490" s="621" t="s">
        <v>524</v>
      </c>
    </row>
    <row r="491" spans="1:3" ht="13.5" thickBot="1">
      <c r="A491" s="619">
        <v>51807</v>
      </c>
      <c r="B491" s="620" t="s">
        <v>518</v>
      </c>
      <c r="C491" s="621" t="s">
        <v>525</v>
      </c>
    </row>
    <row r="492" spans="1:3" ht="13.5" thickBot="1">
      <c r="A492" s="619">
        <v>51820</v>
      </c>
      <c r="B492" s="620" t="s">
        <v>516</v>
      </c>
      <c r="C492" s="621" t="s">
        <v>526</v>
      </c>
    </row>
    <row r="493" spans="1:3" ht="13.5" thickBot="1">
      <c r="A493" s="619">
        <v>51860</v>
      </c>
      <c r="B493" s="620" t="s">
        <v>529</v>
      </c>
      <c r="C493" s="621" t="s">
        <v>527</v>
      </c>
    </row>
    <row r="494" spans="1:3" ht="13.5" thickBot="1">
      <c r="A494" s="622">
        <v>51867</v>
      </c>
      <c r="B494" s="623" t="s">
        <v>529</v>
      </c>
      <c r="C494" s="624" t="s">
        <v>513</v>
      </c>
    </row>
    <row r="495" spans="1:3" ht="13.5" thickBot="1">
      <c r="A495" s="619">
        <v>51914</v>
      </c>
      <c r="B495" s="620" t="s">
        <v>512</v>
      </c>
      <c r="C495" s="621" t="s">
        <v>514</v>
      </c>
    </row>
    <row r="496" spans="1:3" ht="13.5" thickBot="1">
      <c r="A496" s="619">
        <v>51915</v>
      </c>
      <c r="B496" s="620" t="s">
        <v>515</v>
      </c>
      <c r="C496" s="621" t="s">
        <v>514</v>
      </c>
    </row>
    <row r="497" spans="1:3" ht="13.5" thickBot="1">
      <c r="A497" s="619">
        <v>51960</v>
      </c>
      <c r="B497" s="620" t="s">
        <v>516</v>
      </c>
      <c r="C497" s="621" t="s">
        <v>517</v>
      </c>
    </row>
    <row r="498" spans="1:3" ht="13.5" thickBot="1">
      <c r="A498" s="619">
        <v>51977</v>
      </c>
      <c r="B498" s="620" t="s">
        <v>512</v>
      </c>
      <c r="C498" s="621" t="s">
        <v>519</v>
      </c>
    </row>
    <row r="499" spans="1:3" ht="13.5" thickBot="1">
      <c r="A499" s="619">
        <v>51987</v>
      </c>
      <c r="B499" s="620" t="s">
        <v>521</v>
      </c>
      <c r="C499" s="621" t="s">
        <v>520</v>
      </c>
    </row>
    <row r="500" spans="1:3" ht="13.5" thickBot="1">
      <c r="A500" s="619">
        <v>52022</v>
      </c>
      <c r="B500" s="620" t="s">
        <v>521</v>
      </c>
      <c r="C500" s="621" t="s">
        <v>522</v>
      </c>
    </row>
    <row r="501" spans="1:3" ht="13.5" thickBot="1">
      <c r="A501" s="619">
        <v>52116</v>
      </c>
      <c r="B501" s="620" t="s">
        <v>528</v>
      </c>
      <c r="C501" s="621" t="s">
        <v>523</v>
      </c>
    </row>
    <row r="502" spans="1:3" ht="14.25" thickBot="1">
      <c r="A502" s="619">
        <v>52151</v>
      </c>
      <c r="B502" s="620" t="s">
        <v>528</v>
      </c>
      <c r="C502" s="621" t="s">
        <v>524</v>
      </c>
    </row>
    <row r="503" spans="1:3" ht="13.5" thickBot="1">
      <c r="A503" s="619">
        <v>52172</v>
      </c>
      <c r="B503" s="620" t="s">
        <v>528</v>
      </c>
      <c r="C503" s="621" t="s">
        <v>525</v>
      </c>
    </row>
    <row r="504" spans="1:3" ht="13.5" thickBot="1">
      <c r="A504" s="619">
        <v>52185</v>
      </c>
      <c r="B504" s="620" t="s">
        <v>518</v>
      </c>
      <c r="C504" s="621" t="s">
        <v>526</v>
      </c>
    </row>
    <row r="505" spans="1:3" ht="13.5" thickBot="1">
      <c r="A505" s="619">
        <v>52225</v>
      </c>
      <c r="B505" s="620" t="s">
        <v>521</v>
      </c>
      <c r="C505" s="621" t="s">
        <v>527</v>
      </c>
    </row>
    <row r="506" spans="1:3" ht="13.5" thickBot="1">
      <c r="A506" s="622">
        <v>52232</v>
      </c>
      <c r="B506" s="623" t="s">
        <v>521</v>
      </c>
      <c r="C506" s="624" t="s">
        <v>513</v>
      </c>
    </row>
    <row r="507" spans="1:3" ht="13.5" thickBot="1">
      <c r="A507" s="619">
        <v>52271</v>
      </c>
      <c r="B507" s="620" t="s">
        <v>512</v>
      </c>
      <c r="C507" s="621" t="s">
        <v>514</v>
      </c>
    </row>
    <row r="508" spans="1:3" ht="13.5" thickBot="1">
      <c r="A508" s="619">
        <v>52272</v>
      </c>
      <c r="B508" s="620" t="s">
        <v>515</v>
      </c>
      <c r="C508" s="621" t="s">
        <v>514</v>
      </c>
    </row>
    <row r="509" spans="1:3" ht="13.5" thickBot="1">
      <c r="A509" s="619">
        <v>52317</v>
      </c>
      <c r="B509" s="620" t="s">
        <v>516</v>
      </c>
      <c r="C509" s="621" t="s">
        <v>517</v>
      </c>
    </row>
    <row r="510" spans="1:3" ht="13.5" thickBot="1">
      <c r="A510" s="619">
        <v>52342</v>
      </c>
      <c r="B510" s="620" t="s">
        <v>515</v>
      </c>
      <c r="C510" s="621" t="s">
        <v>519</v>
      </c>
    </row>
    <row r="511" spans="1:3" ht="13.5" thickBot="1">
      <c r="A511" s="619">
        <v>52352</v>
      </c>
      <c r="B511" s="620" t="s">
        <v>516</v>
      </c>
      <c r="C511" s="621" t="s">
        <v>520</v>
      </c>
    </row>
    <row r="512" spans="1:3" ht="13.5" thickBot="1">
      <c r="A512" s="619">
        <v>52379</v>
      </c>
      <c r="B512" s="620" t="s">
        <v>521</v>
      </c>
      <c r="C512" s="621" t="s">
        <v>522</v>
      </c>
    </row>
    <row r="513" spans="1:3" ht="13.5" thickBot="1">
      <c r="A513" s="619">
        <v>52481</v>
      </c>
      <c r="B513" s="620" t="s">
        <v>512</v>
      </c>
      <c r="C513" s="621" t="s">
        <v>523</v>
      </c>
    </row>
    <row r="514" spans="1:3" ht="14.25" thickBot="1">
      <c r="A514" s="619">
        <v>52516</v>
      </c>
      <c r="B514" s="620" t="s">
        <v>512</v>
      </c>
      <c r="C514" s="621" t="s">
        <v>524</v>
      </c>
    </row>
    <row r="515" spans="1:3" ht="13.5" thickBot="1">
      <c r="A515" s="619">
        <v>52537</v>
      </c>
      <c r="B515" s="620" t="s">
        <v>512</v>
      </c>
      <c r="C515" s="621" t="s">
        <v>525</v>
      </c>
    </row>
    <row r="516" spans="1:3" ht="13.5" thickBot="1">
      <c r="A516" s="619">
        <v>52550</v>
      </c>
      <c r="B516" s="620" t="s">
        <v>528</v>
      </c>
      <c r="C516" s="621" t="s">
        <v>526</v>
      </c>
    </row>
    <row r="517" spans="1:3" ht="13.5" thickBot="1">
      <c r="A517" s="619">
        <v>52590</v>
      </c>
      <c r="B517" s="620" t="s">
        <v>516</v>
      </c>
      <c r="C517" s="621" t="s">
        <v>527</v>
      </c>
    </row>
    <row r="518" spans="1:3" ht="13.5" thickBot="1">
      <c r="A518" s="622">
        <v>52597</v>
      </c>
      <c r="B518" s="623" t="s">
        <v>516</v>
      </c>
      <c r="C518" s="624" t="s">
        <v>513</v>
      </c>
    </row>
    <row r="519" spans="1:3" ht="13.5" thickBot="1">
      <c r="A519" s="619">
        <v>52656</v>
      </c>
      <c r="B519" s="620" t="s">
        <v>512</v>
      </c>
      <c r="C519" s="621" t="s">
        <v>514</v>
      </c>
    </row>
    <row r="520" spans="1:3" ht="13.5" thickBot="1">
      <c r="A520" s="619">
        <v>52657</v>
      </c>
      <c r="B520" s="620" t="s">
        <v>515</v>
      </c>
      <c r="C520" s="621" t="s">
        <v>514</v>
      </c>
    </row>
    <row r="521" spans="1:3" ht="13.5" thickBot="1">
      <c r="A521" s="619">
        <v>52702</v>
      </c>
      <c r="B521" s="620" t="s">
        <v>516</v>
      </c>
      <c r="C521" s="621" t="s">
        <v>517</v>
      </c>
    </row>
    <row r="522" spans="1:3" ht="13.5" thickBot="1">
      <c r="A522" s="619">
        <v>52708</v>
      </c>
      <c r="B522" s="620" t="s">
        <v>521</v>
      </c>
      <c r="C522" s="621" t="s">
        <v>519</v>
      </c>
    </row>
    <row r="523" spans="1:3" ht="13.5" thickBot="1">
      <c r="A523" s="619">
        <v>52718</v>
      </c>
      <c r="B523" s="620" t="s">
        <v>528</v>
      </c>
      <c r="C523" s="621" t="s">
        <v>520</v>
      </c>
    </row>
    <row r="524" spans="1:3" ht="13.5" thickBot="1">
      <c r="A524" s="619">
        <v>52764</v>
      </c>
      <c r="B524" s="620" t="s">
        <v>521</v>
      </c>
      <c r="C524" s="621" t="s">
        <v>522</v>
      </c>
    </row>
    <row r="525" spans="1:3" ht="13.5" thickBot="1">
      <c r="A525" s="619">
        <v>52847</v>
      </c>
      <c r="B525" s="620" t="s">
        <v>529</v>
      </c>
      <c r="C525" s="621" t="s">
        <v>523</v>
      </c>
    </row>
    <row r="526" spans="1:3" ht="14.25" thickBot="1">
      <c r="A526" s="619">
        <v>52882</v>
      </c>
      <c r="B526" s="620" t="s">
        <v>529</v>
      </c>
      <c r="C526" s="621" t="s">
        <v>524</v>
      </c>
    </row>
    <row r="527" spans="1:3" ht="13.5" thickBot="1">
      <c r="A527" s="619">
        <v>52903</v>
      </c>
      <c r="B527" s="620" t="s">
        <v>529</v>
      </c>
      <c r="C527" s="621" t="s">
        <v>525</v>
      </c>
    </row>
    <row r="528" spans="1:3" ht="13.5" thickBot="1">
      <c r="A528" s="619">
        <v>52916</v>
      </c>
      <c r="B528" s="620" t="s">
        <v>515</v>
      </c>
      <c r="C528" s="621" t="s">
        <v>526</v>
      </c>
    </row>
    <row r="529" spans="1:3" ht="13.5" thickBot="1">
      <c r="A529" s="622">
        <v>52956</v>
      </c>
      <c r="B529" s="623" t="s">
        <v>528</v>
      </c>
      <c r="C529" s="624" t="s">
        <v>527</v>
      </c>
    </row>
    <row r="530" spans="1:3" ht="13.5" thickBot="1">
      <c r="A530" s="622">
        <v>52963</v>
      </c>
      <c r="B530" s="623" t="s">
        <v>528</v>
      </c>
      <c r="C530" s="624" t="s">
        <v>513</v>
      </c>
    </row>
    <row r="531" spans="1:3" ht="13.5" thickBot="1">
      <c r="A531" s="619">
        <v>53013</v>
      </c>
      <c r="B531" s="620" t="s">
        <v>512</v>
      </c>
      <c r="C531" s="621" t="s">
        <v>514</v>
      </c>
    </row>
    <row r="532" spans="1:3" ht="13.5" thickBot="1">
      <c r="A532" s="619">
        <v>53014</v>
      </c>
      <c r="B532" s="620" t="s">
        <v>515</v>
      </c>
      <c r="C532" s="621" t="s">
        <v>514</v>
      </c>
    </row>
    <row r="533" spans="1:3" ht="13.5" thickBot="1">
      <c r="A533" s="619">
        <v>53059</v>
      </c>
      <c r="B533" s="620" t="s">
        <v>516</v>
      </c>
      <c r="C533" s="621" t="s">
        <v>517</v>
      </c>
    </row>
    <row r="534" spans="1:3" ht="13.5" thickBot="1">
      <c r="A534" s="619">
        <v>53073</v>
      </c>
      <c r="B534" s="620" t="s">
        <v>516</v>
      </c>
      <c r="C534" s="621" t="s">
        <v>519</v>
      </c>
    </row>
    <row r="535" spans="1:3" ht="13.5" thickBot="1">
      <c r="A535" s="619">
        <v>53083</v>
      </c>
      <c r="B535" s="620" t="s">
        <v>512</v>
      </c>
      <c r="C535" s="621" t="s">
        <v>520</v>
      </c>
    </row>
    <row r="536" spans="1:3" ht="13.5" thickBot="1">
      <c r="A536" s="619">
        <v>53121</v>
      </c>
      <c r="B536" s="620" t="s">
        <v>521</v>
      </c>
      <c r="C536" s="621" t="s">
        <v>522</v>
      </c>
    </row>
    <row r="537" spans="1:3" ht="13.5" thickBot="1">
      <c r="A537" s="619">
        <v>53212</v>
      </c>
      <c r="B537" s="620" t="s">
        <v>521</v>
      </c>
      <c r="C537" s="621" t="s">
        <v>523</v>
      </c>
    </row>
    <row r="538" spans="1:3" ht="14.25" thickBot="1">
      <c r="A538" s="619">
        <v>53247</v>
      </c>
      <c r="B538" s="620" t="s">
        <v>521</v>
      </c>
      <c r="C538" s="621" t="s">
        <v>524</v>
      </c>
    </row>
    <row r="539" spans="1:3" ht="13.5" thickBot="1">
      <c r="A539" s="619">
        <v>53268</v>
      </c>
      <c r="B539" s="620" t="s">
        <v>521</v>
      </c>
      <c r="C539" s="621" t="s">
        <v>525</v>
      </c>
    </row>
    <row r="540" spans="1:3" ht="13.5" thickBot="1">
      <c r="A540" s="619">
        <v>53281</v>
      </c>
      <c r="B540" s="620" t="s">
        <v>529</v>
      </c>
      <c r="C540" s="621" t="s">
        <v>526</v>
      </c>
    </row>
    <row r="541" spans="1:3" ht="13.5" thickBot="1">
      <c r="A541" s="619">
        <v>53321</v>
      </c>
      <c r="B541" s="620" t="s">
        <v>512</v>
      </c>
      <c r="C541" s="621" t="s">
        <v>527</v>
      </c>
    </row>
    <row r="542" spans="1:3" ht="13.5" thickBot="1">
      <c r="A542" s="622">
        <v>53328</v>
      </c>
      <c r="B542" s="623" t="s">
        <v>512</v>
      </c>
      <c r="C542" s="624" t="s">
        <v>513</v>
      </c>
    </row>
    <row r="543" spans="1:3" ht="13.5" thickBot="1">
      <c r="A543" s="619">
        <v>53363</v>
      </c>
      <c r="B543" s="620" t="s">
        <v>512</v>
      </c>
      <c r="C543" s="621" t="s">
        <v>514</v>
      </c>
    </row>
    <row r="544" spans="1:3" ht="13.5" thickBot="1">
      <c r="A544" s="619">
        <v>53364</v>
      </c>
      <c r="B544" s="620" t="s">
        <v>515</v>
      </c>
      <c r="C544" s="621" t="s">
        <v>514</v>
      </c>
    </row>
    <row r="545" spans="1:3" ht="13.5" thickBot="1">
      <c r="A545" s="619">
        <v>53409</v>
      </c>
      <c r="B545" s="620" t="s">
        <v>516</v>
      </c>
      <c r="C545" s="621" t="s">
        <v>517</v>
      </c>
    </row>
    <row r="546" spans="1:3" ht="13.5" thickBot="1">
      <c r="A546" s="619">
        <v>53438</v>
      </c>
      <c r="B546" s="620" t="s">
        <v>518</v>
      </c>
      <c r="C546" s="621" t="s">
        <v>519</v>
      </c>
    </row>
    <row r="547" spans="1:3" ht="13.5" thickBot="1">
      <c r="A547" s="619">
        <v>53448</v>
      </c>
      <c r="B547" s="620" t="s">
        <v>515</v>
      </c>
      <c r="C547" s="621" t="s">
        <v>520</v>
      </c>
    </row>
    <row r="548" spans="1:3" ht="13.5" thickBot="1">
      <c r="A548" s="619">
        <v>53471</v>
      </c>
      <c r="B548" s="620" t="s">
        <v>521</v>
      </c>
      <c r="C548" s="621" t="s">
        <v>522</v>
      </c>
    </row>
    <row r="549" spans="1:3" ht="13.5" thickBot="1">
      <c r="A549" s="619">
        <v>53577</v>
      </c>
      <c r="B549" s="620" t="s">
        <v>516</v>
      </c>
      <c r="C549" s="621" t="s">
        <v>523</v>
      </c>
    </row>
    <row r="550" spans="1:3" ht="14.25" thickBot="1">
      <c r="A550" s="619">
        <v>53612</v>
      </c>
      <c r="B550" s="620" t="s">
        <v>516</v>
      </c>
      <c r="C550" s="621" t="s">
        <v>524</v>
      </c>
    </row>
    <row r="551" spans="1:3" ht="13.5" thickBot="1">
      <c r="A551" s="619">
        <v>53633</v>
      </c>
      <c r="B551" s="620" t="s">
        <v>516</v>
      </c>
      <c r="C551" s="621" t="s">
        <v>525</v>
      </c>
    </row>
    <row r="552" spans="1:3" ht="13.5" thickBot="1">
      <c r="A552" s="619">
        <v>53646</v>
      </c>
      <c r="B552" s="620" t="s">
        <v>521</v>
      </c>
      <c r="C552" s="621" t="s">
        <v>526</v>
      </c>
    </row>
    <row r="553" spans="1:3" ht="13.5" thickBot="1">
      <c r="A553" s="619">
        <v>53686</v>
      </c>
      <c r="B553" s="620" t="s">
        <v>515</v>
      </c>
      <c r="C553" s="621" t="s">
        <v>527</v>
      </c>
    </row>
    <row r="554" spans="1:3" ht="13.5" thickBot="1">
      <c r="A554" s="622">
        <v>53693</v>
      </c>
      <c r="B554" s="623" t="s">
        <v>515</v>
      </c>
      <c r="C554" s="624" t="s">
        <v>513</v>
      </c>
    </row>
    <row r="555" spans="1:3" ht="13.5" thickBot="1">
      <c r="A555" s="619">
        <v>53748</v>
      </c>
      <c r="B555" s="620" t="s">
        <v>512</v>
      </c>
      <c r="C555" s="621" t="s">
        <v>514</v>
      </c>
    </row>
    <row r="556" spans="1:3" ht="13.5" thickBot="1">
      <c r="A556" s="619">
        <v>53749</v>
      </c>
      <c r="B556" s="620" t="s">
        <v>515</v>
      </c>
      <c r="C556" s="621" t="s">
        <v>514</v>
      </c>
    </row>
    <row r="557" spans="1:3" ht="13.5" thickBot="1">
      <c r="A557" s="619">
        <v>53794</v>
      </c>
      <c r="B557" s="620" t="s">
        <v>516</v>
      </c>
      <c r="C557" s="621" t="s">
        <v>517</v>
      </c>
    </row>
    <row r="558" spans="1:3" ht="13.5" thickBot="1">
      <c r="A558" s="619">
        <v>53803</v>
      </c>
      <c r="B558" s="620" t="s">
        <v>515</v>
      </c>
      <c r="C558" s="621" t="s">
        <v>519</v>
      </c>
    </row>
    <row r="559" spans="1:3" ht="13.5" thickBot="1">
      <c r="A559" s="619">
        <v>53813</v>
      </c>
      <c r="B559" s="620" t="s">
        <v>529</v>
      </c>
      <c r="C559" s="621" t="s">
        <v>520</v>
      </c>
    </row>
    <row r="560" spans="1:3" ht="13.5" thickBot="1">
      <c r="A560" s="619">
        <v>53856</v>
      </c>
      <c r="B560" s="620" t="s">
        <v>521</v>
      </c>
      <c r="C560" s="621" t="s">
        <v>522</v>
      </c>
    </row>
    <row r="561" spans="1:3" ht="13.5" thickBot="1">
      <c r="A561" s="619">
        <v>53942</v>
      </c>
      <c r="B561" s="620" t="s">
        <v>518</v>
      </c>
      <c r="C561" s="621" t="s">
        <v>523</v>
      </c>
    </row>
    <row r="562" spans="1:3" ht="14.25" thickBot="1">
      <c r="A562" s="619">
        <v>53977</v>
      </c>
      <c r="B562" s="620" t="s">
        <v>518</v>
      </c>
      <c r="C562" s="621" t="s">
        <v>524</v>
      </c>
    </row>
    <row r="563" spans="1:3" ht="13.5" thickBot="1">
      <c r="A563" s="619">
        <v>53998</v>
      </c>
      <c r="B563" s="620" t="s">
        <v>518</v>
      </c>
      <c r="C563" s="621" t="s">
        <v>525</v>
      </c>
    </row>
    <row r="564" spans="1:3" ht="13.5" thickBot="1">
      <c r="A564" s="619">
        <v>54011</v>
      </c>
      <c r="B564" s="620" t="s">
        <v>516</v>
      </c>
      <c r="C564" s="621" t="s">
        <v>526</v>
      </c>
    </row>
    <row r="565" spans="1:3" ht="13.5" thickBot="1">
      <c r="A565" s="619">
        <v>54051</v>
      </c>
      <c r="B565" s="620" t="s">
        <v>529</v>
      </c>
      <c r="C565" s="621" t="s">
        <v>527</v>
      </c>
    </row>
    <row r="566" spans="1:3" ht="13.5" thickBot="1">
      <c r="A566" s="622">
        <v>54058</v>
      </c>
      <c r="B566" s="623" t="s">
        <v>529</v>
      </c>
      <c r="C566" s="624" t="s">
        <v>513</v>
      </c>
    </row>
    <row r="567" spans="1:3" ht="13.5" thickBot="1">
      <c r="A567" s="619">
        <v>54105</v>
      </c>
      <c r="B567" s="620" t="s">
        <v>512</v>
      </c>
      <c r="C567" s="621" t="s">
        <v>514</v>
      </c>
    </row>
    <row r="568" spans="1:3" ht="13.5" thickBot="1">
      <c r="A568" s="619">
        <v>54106</v>
      </c>
      <c r="B568" s="620" t="s">
        <v>515</v>
      </c>
      <c r="C568" s="621" t="s">
        <v>514</v>
      </c>
    </row>
    <row r="569" spans="1:3" ht="13.5" thickBot="1">
      <c r="A569" s="619">
        <v>54151</v>
      </c>
      <c r="B569" s="620" t="s">
        <v>516</v>
      </c>
      <c r="C569" s="621" t="s">
        <v>517</v>
      </c>
    </row>
    <row r="570" spans="1:3" ht="13.5" thickBot="1">
      <c r="A570" s="619">
        <v>54169</v>
      </c>
      <c r="B570" s="620" t="s">
        <v>515</v>
      </c>
      <c r="C570" s="621" t="s">
        <v>519</v>
      </c>
    </row>
    <row r="571" spans="1:3" ht="13.5" thickBot="1">
      <c r="A571" s="619">
        <v>54179</v>
      </c>
      <c r="B571" s="620" t="s">
        <v>516</v>
      </c>
      <c r="C571" s="621" t="s">
        <v>520</v>
      </c>
    </row>
    <row r="572" spans="1:3" ht="13.5" thickBot="1">
      <c r="A572" s="619">
        <v>54213</v>
      </c>
      <c r="B572" s="620" t="s">
        <v>521</v>
      </c>
      <c r="C572" s="621" t="s">
        <v>522</v>
      </c>
    </row>
    <row r="573" spans="1:3" ht="13.5" thickBot="1">
      <c r="A573" s="619">
        <v>54308</v>
      </c>
      <c r="B573" s="620" t="s">
        <v>512</v>
      </c>
      <c r="C573" s="621" t="s">
        <v>523</v>
      </c>
    </row>
    <row r="574" spans="1:3" ht="14.25" thickBot="1">
      <c r="A574" s="619">
        <v>54343</v>
      </c>
      <c r="B574" s="620" t="s">
        <v>512</v>
      </c>
      <c r="C574" s="621" t="s">
        <v>524</v>
      </c>
    </row>
    <row r="575" spans="1:3" ht="13.5" thickBot="1">
      <c r="A575" s="619">
        <v>54364</v>
      </c>
      <c r="B575" s="620" t="s">
        <v>512</v>
      </c>
      <c r="C575" s="621" t="s">
        <v>525</v>
      </c>
    </row>
    <row r="576" spans="1:3" ht="13.5" thickBot="1">
      <c r="A576" s="619">
        <v>54377</v>
      </c>
      <c r="B576" s="620" t="s">
        <v>528</v>
      </c>
      <c r="C576" s="621" t="s">
        <v>526</v>
      </c>
    </row>
    <row r="577" spans="1:3" ht="13.5" thickBot="1">
      <c r="A577" s="619">
        <v>54417</v>
      </c>
      <c r="B577" s="620" t="s">
        <v>516</v>
      </c>
      <c r="C577" s="621" t="s">
        <v>527</v>
      </c>
    </row>
    <row r="578" spans="1:3" ht="13.5" thickBot="1">
      <c r="A578" s="622">
        <v>54424</v>
      </c>
      <c r="B578" s="623" t="s">
        <v>516</v>
      </c>
      <c r="C578" s="624" t="s">
        <v>513</v>
      </c>
    </row>
    <row r="579" spans="1:3" ht="13.5" thickBot="1">
      <c r="A579" s="619">
        <v>54483</v>
      </c>
      <c r="B579" s="620" t="s">
        <v>512</v>
      </c>
      <c r="C579" s="621" t="s">
        <v>514</v>
      </c>
    </row>
    <row r="580" spans="1:3" ht="13.5" thickBot="1">
      <c r="A580" s="619">
        <v>54484</v>
      </c>
      <c r="B580" s="620" t="s">
        <v>515</v>
      </c>
      <c r="C580" s="621" t="s">
        <v>514</v>
      </c>
    </row>
    <row r="581" spans="1:3" ht="13.5" thickBot="1">
      <c r="A581" s="619">
        <v>54529</v>
      </c>
      <c r="B581" s="620" t="s">
        <v>516</v>
      </c>
      <c r="C581" s="621" t="s">
        <v>517</v>
      </c>
    </row>
    <row r="582" spans="1:3" ht="13.5" thickBot="1">
      <c r="A582" s="619">
        <v>54534</v>
      </c>
      <c r="B582" s="620" t="s">
        <v>529</v>
      </c>
      <c r="C582" s="621" t="s">
        <v>519</v>
      </c>
    </row>
    <row r="583" spans="1:3" ht="13.5" thickBot="1">
      <c r="A583" s="619">
        <v>54544</v>
      </c>
      <c r="B583" s="620" t="s">
        <v>518</v>
      </c>
      <c r="C583" s="621" t="s">
        <v>520</v>
      </c>
    </row>
    <row r="584" spans="1:3" ht="13.5" thickBot="1">
      <c r="A584" s="619">
        <v>54591</v>
      </c>
      <c r="B584" s="620" t="s">
        <v>521</v>
      </c>
      <c r="C584" s="621" t="s">
        <v>522</v>
      </c>
    </row>
    <row r="585" spans="1:3" ht="13.5" thickBot="1">
      <c r="A585" s="619">
        <v>54673</v>
      </c>
      <c r="B585" s="620" t="s">
        <v>515</v>
      </c>
      <c r="C585" s="621" t="s">
        <v>523</v>
      </c>
    </row>
    <row r="586" spans="1:3" ht="14.25" thickBot="1">
      <c r="A586" s="619">
        <v>54708</v>
      </c>
      <c r="B586" s="620" t="s">
        <v>515</v>
      </c>
      <c r="C586" s="621" t="s">
        <v>524</v>
      </c>
    </row>
    <row r="587" spans="1:3" ht="13.5" thickBot="1">
      <c r="A587" s="619">
        <v>54729</v>
      </c>
      <c r="B587" s="620" t="s">
        <v>515</v>
      </c>
      <c r="C587" s="621" t="s">
        <v>525</v>
      </c>
    </row>
    <row r="588" spans="1:3" ht="13.5" thickBot="1">
      <c r="A588" s="619">
        <v>54742</v>
      </c>
      <c r="B588" s="620" t="s">
        <v>512</v>
      </c>
      <c r="C588" s="621" t="s">
        <v>526</v>
      </c>
    </row>
    <row r="589" spans="1:3" ht="13.5" thickBot="1">
      <c r="A589" s="619">
        <v>54782</v>
      </c>
      <c r="B589" s="620" t="s">
        <v>518</v>
      </c>
      <c r="C589" s="621" t="s">
        <v>527</v>
      </c>
    </row>
    <row r="590" spans="1:3" ht="13.5" thickBot="1">
      <c r="A590" s="622">
        <v>54789</v>
      </c>
      <c r="B590" s="623" t="s">
        <v>518</v>
      </c>
      <c r="C590" s="624" t="s">
        <v>513</v>
      </c>
    </row>
    <row r="591" spans="1:3" ht="13.5" thickBot="1">
      <c r="A591" s="619">
        <v>54840</v>
      </c>
      <c r="B591" s="620" t="s">
        <v>512</v>
      </c>
      <c r="C591" s="621" t="s">
        <v>514</v>
      </c>
    </row>
    <row r="592" spans="1:3" ht="13.5" thickBot="1">
      <c r="A592" s="619">
        <v>54841</v>
      </c>
      <c r="B592" s="620" t="s">
        <v>515</v>
      </c>
      <c r="C592" s="621" t="s">
        <v>514</v>
      </c>
    </row>
    <row r="593" spans="1:3" ht="13.5" thickBot="1">
      <c r="A593" s="619">
        <v>54886</v>
      </c>
      <c r="B593" s="620" t="s">
        <v>516</v>
      </c>
      <c r="C593" s="621" t="s">
        <v>517</v>
      </c>
    </row>
    <row r="594" spans="1:3" ht="13.5" thickBot="1">
      <c r="A594" s="619">
        <v>54899</v>
      </c>
      <c r="B594" s="620" t="s">
        <v>521</v>
      </c>
      <c r="C594" s="621" t="s">
        <v>519</v>
      </c>
    </row>
    <row r="595" spans="1:3" ht="13.5" thickBot="1">
      <c r="A595" s="619">
        <v>54909</v>
      </c>
      <c r="B595" s="620" t="s">
        <v>528</v>
      </c>
      <c r="C595" s="621" t="s">
        <v>520</v>
      </c>
    </row>
    <row r="596" spans="1:3" ht="13.5" thickBot="1">
      <c r="A596" s="619">
        <v>54948</v>
      </c>
      <c r="B596" s="620" t="s">
        <v>521</v>
      </c>
      <c r="C596" s="621" t="s">
        <v>522</v>
      </c>
    </row>
    <row r="597" spans="1:3" ht="13.5" thickBot="1">
      <c r="A597" s="619">
        <v>55038</v>
      </c>
      <c r="B597" s="620" t="s">
        <v>529</v>
      </c>
      <c r="C597" s="621" t="s">
        <v>523</v>
      </c>
    </row>
    <row r="598" spans="1:3" ht="14.25" thickBot="1">
      <c r="A598" s="619">
        <v>55073</v>
      </c>
      <c r="B598" s="620" t="s">
        <v>529</v>
      </c>
      <c r="C598" s="621" t="s">
        <v>524</v>
      </c>
    </row>
    <row r="599" spans="1:3" ht="13.5" thickBot="1">
      <c r="A599" s="619">
        <v>55094</v>
      </c>
      <c r="B599" s="620" t="s">
        <v>529</v>
      </c>
      <c r="C599" s="621" t="s">
        <v>525</v>
      </c>
    </row>
    <row r="600" spans="1:3" ht="13.5" thickBot="1">
      <c r="A600" s="619">
        <v>55107</v>
      </c>
      <c r="B600" s="620" t="s">
        <v>515</v>
      </c>
      <c r="C600" s="621" t="s">
        <v>526</v>
      </c>
    </row>
    <row r="601" spans="1:3" ht="13.5" thickBot="1">
      <c r="A601" s="619">
        <v>55147</v>
      </c>
      <c r="B601" s="620" t="s">
        <v>528</v>
      </c>
      <c r="C601" s="621" t="s">
        <v>527</v>
      </c>
    </row>
    <row r="602" spans="1:3" ht="13.5" thickBot="1">
      <c r="A602" s="622">
        <v>55154</v>
      </c>
      <c r="B602" s="623" t="s">
        <v>528</v>
      </c>
      <c r="C602" s="624" t="s">
        <v>513</v>
      </c>
    </row>
    <row r="603" spans="1:3" ht="13.5" thickBot="1">
      <c r="A603" s="619">
        <v>55197</v>
      </c>
      <c r="B603" s="620" t="s">
        <v>512</v>
      </c>
      <c r="C603" s="621" t="s">
        <v>514</v>
      </c>
    </row>
    <row r="604" spans="1:3" ht="13.5" thickBot="1">
      <c r="A604" s="619">
        <v>55198</v>
      </c>
      <c r="B604" s="620" t="s">
        <v>515</v>
      </c>
      <c r="C604" s="621" t="s">
        <v>514</v>
      </c>
    </row>
    <row r="605" spans="1:3" ht="13.5" thickBot="1">
      <c r="A605" s="619">
        <v>55243</v>
      </c>
      <c r="B605" s="620" t="s">
        <v>516</v>
      </c>
      <c r="C605" s="621" t="s">
        <v>517</v>
      </c>
    </row>
    <row r="606" spans="1:3" ht="13.5" thickBot="1">
      <c r="A606" s="619">
        <v>55264</v>
      </c>
      <c r="B606" s="620" t="s">
        <v>516</v>
      </c>
      <c r="C606" s="621" t="s">
        <v>519</v>
      </c>
    </row>
    <row r="607" spans="1:3" ht="13.5" thickBot="1">
      <c r="A607" s="619">
        <v>55274</v>
      </c>
      <c r="B607" s="620" t="s">
        <v>512</v>
      </c>
      <c r="C607" s="621" t="s">
        <v>520</v>
      </c>
    </row>
    <row r="608" spans="1:3" ht="13.5" thickBot="1">
      <c r="A608" s="619">
        <v>55305</v>
      </c>
      <c r="B608" s="620" t="s">
        <v>521</v>
      </c>
      <c r="C608" s="621" t="s">
        <v>522</v>
      </c>
    </row>
    <row r="609" spans="1:3" ht="13.5" thickBot="1">
      <c r="A609" s="619">
        <v>55403</v>
      </c>
      <c r="B609" s="620" t="s">
        <v>521</v>
      </c>
      <c r="C609" s="621" t="s">
        <v>523</v>
      </c>
    </row>
    <row r="610" spans="1:3" ht="14.25" thickBot="1">
      <c r="A610" s="619">
        <v>55438</v>
      </c>
      <c r="B610" s="620" t="s">
        <v>521</v>
      </c>
      <c r="C610" s="621" t="s">
        <v>524</v>
      </c>
    </row>
    <row r="611" spans="1:3" ht="13.5" thickBot="1">
      <c r="A611" s="619">
        <v>55459</v>
      </c>
      <c r="B611" s="620" t="s">
        <v>521</v>
      </c>
      <c r="C611" s="621" t="s">
        <v>525</v>
      </c>
    </row>
    <row r="612" spans="1:3" ht="13.5" thickBot="1">
      <c r="A612" s="619">
        <v>55472</v>
      </c>
      <c r="B612" s="620" t="s">
        <v>529</v>
      </c>
      <c r="C612" s="621" t="s">
        <v>526</v>
      </c>
    </row>
    <row r="613" spans="1:3" ht="13.5" thickBot="1">
      <c r="A613" s="619">
        <v>55512</v>
      </c>
      <c r="B613" s="620" t="s">
        <v>512</v>
      </c>
      <c r="C613" s="621" t="s">
        <v>527</v>
      </c>
    </row>
    <row r="614" spans="1:3" ht="13.5" thickBot="1">
      <c r="A614" s="622">
        <v>55519</v>
      </c>
      <c r="B614" s="623" t="s">
        <v>512</v>
      </c>
      <c r="C614" s="624" t="s">
        <v>513</v>
      </c>
    </row>
    <row r="615" spans="1:3" ht="13.5" thickBot="1">
      <c r="A615" s="619">
        <v>55582</v>
      </c>
      <c r="B615" s="620" t="s">
        <v>512</v>
      </c>
      <c r="C615" s="621" t="s">
        <v>514</v>
      </c>
    </row>
    <row r="616" spans="1:3" ht="13.5" thickBot="1">
      <c r="A616" s="619">
        <v>55583</v>
      </c>
      <c r="B616" s="620" t="s">
        <v>515</v>
      </c>
      <c r="C616" s="621" t="s">
        <v>514</v>
      </c>
    </row>
    <row r="617" spans="1:3" ht="13.5" thickBot="1">
      <c r="A617" s="619">
        <v>55628</v>
      </c>
      <c r="B617" s="620" t="s">
        <v>516</v>
      </c>
      <c r="C617" s="621" t="s">
        <v>517</v>
      </c>
    </row>
    <row r="618" spans="1:3" ht="13.5" thickBot="1">
      <c r="A618" s="619">
        <v>55630</v>
      </c>
      <c r="B618" s="620" t="s">
        <v>528</v>
      </c>
      <c r="C618" s="621" t="s">
        <v>519</v>
      </c>
    </row>
    <row r="619" spans="1:3" ht="13.5" thickBot="1">
      <c r="A619" s="619">
        <v>55640</v>
      </c>
      <c r="B619" s="620" t="s">
        <v>529</v>
      </c>
      <c r="C619" s="621" t="s">
        <v>520</v>
      </c>
    </row>
    <row r="620" spans="1:3" ht="13.5" thickBot="1">
      <c r="A620" s="619">
        <v>55690</v>
      </c>
      <c r="B620" s="620" t="s">
        <v>521</v>
      </c>
      <c r="C620" s="621" t="s">
        <v>522</v>
      </c>
    </row>
    <row r="621" spans="1:3" ht="13.5" thickBot="1">
      <c r="A621" s="619">
        <v>55769</v>
      </c>
      <c r="B621" s="620" t="s">
        <v>518</v>
      </c>
      <c r="C621" s="621" t="s">
        <v>523</v>
      </c>
    </row>
    <row r="622" spans="1:3" ht="14.25" thickBot="1">
      <c r="A622" s="619">
        <v>55804</v>
      </c>
      <c r="B622" s="620" t="s">
        <v>518</v>
      </c>
      <c r="C622" s="621" t="s">
        <v>524</v>
      </c>
    </row>
    <row r="623" spans="1:3" ht="13.5" thickBot="1">
      <c r="A623" s="619">
        <v>55825</v>
      </c>
      <c r="B623" s="620" t="s">
        <v>518</v>
      </c>
      <c r="C623" s="621" t="s">
        <v>525</v>
      </c>
    </row>
    <row r="624" spans="1:3" ht="13.5" thickBot="1">
      <c r="A624" s="619">
        <v>55838</v>
      </c>
      <c r="B624" s="620" t="s">
        <v>516</v>
      </c>
      <c r="C624" s="621" t="s">
        <v>526</v>
      </c>
    </row>
    <row r="625" spans="1:3" ht="13.5" thickBot="1">
      <c r="A625" s="619">
        <v>55878</v>
      </c>
      <c r="B625" s="620" t="s">
        <v>529</v>
      </c>
      <c r="C625" s="621" t="s">
        <v>527</v>
      </c>
    </row>
    <row r="626" spans="1:3" ht="13.5" thickBot="1">
      <c r="A626" s="622">
        <v>55885</v>
      </c>
      <c r="B626" s="623" t="s">
        <v>529</v>
      </c>
      <c r="C626" s="624" t="s">
        <v>513</v>
      </c>
    </row>
    <row r="627" spans="1:3" ht="13.5" thickBot="1">
      <c r="A627" s="619">
        <v>55932</v>
      </c>
      <c r="B627" s="620" t="s">
        <v>512</v>
      </c>
      <c r="C627" s="621" t="s">
        <v>514</v>
      </c>
    </row>
    <row r="628" spans="1:3" ht="13.5" thickBot="1">
      <c r="A628" s="619">
        <v>55933</v>
      </c>
      <c r="B628" s="620" t="s">
        <v>515</v>
      </c>
      <c r="C628" s="621" t="s">
        <v>514</v>
      </c>
    </row>
    <row r="629" spans="1:3" ht="13.5" thickBot="1">
      <c r="A629" s="619">
        <v>55978</v>
      </c>
      <c r="B629" s="620" t="s">
        <v>516</v>
      </c>
      <c r="C629" s="621" t="s">
        <v>517</v>
      </c>
    </row>
    <row r="630" spans="1:3" ht="13.5" thickBot="1">
      <c r="A630" s="619">
        <v>55995</v>
      </c>
      <c r="B630" s="620" t="s">
        <v>512</v>
      </c>
      <c r="C630" s="621" t="s">
        <v>519</v>
      </c>
    </row>
    <row r="631" spans="1:3" ht="13.5" thickBot="1">
      <c r="A631" s="619">
        <v>56005</v>
      </c>
      <c r="B631" s="620" t="s">
        <v>521</v>
      </c>
      <c r="C631" s="621" t="s">
        <v>520</v>
      </c>
    </row>
    <row r="632" spans="1:3" ht="13.5" thickBot="1">
      <c r="A632" s="619">
        <v>56040</v>
      </c>
      <c r="B632" s="620" t="s">
        <v>521</v>
      </c>
      <c r="C632" s="621" t="s">
        <v>522</v>
      </c>
    </row>
    <row r="633" spans="1:3" ht="13.5" thickBot="1">
      <c r="A633" s="619">
        <v>56134</v>
      </c>
      <c r="B633" s="620" t="s">
        <v>528</v>
      </c>
      <c r="C633" s="621" t="s">
        <v>523</v>
      </c>
    </row>
    <row r="634" spans="1:3" ht="14.25" thickBot="1">
      <c r="A634" s="619">
        <v>56169</v>
      </c>
      <c r="B634" s="620" t="s">
        <v>528</v>
      </c>
      <c r="C634" s="621" t="s">
        <v>524</v>
      </c>
    </row>
    <row r="635" spans="1:3" ht="13.5" thickBot="1">
      <c r="A635" s="619">
        <v>56190</v>
      </c>
      <c r="B635" s="620" t="s">
        <v>528</v>
      </c>
      <c r="C635" s="621" t="s">
        <v>525</v>
      </c>
    </row>
    <row r="636" spans="1:3" ht="13.5" thickBot="1">
      <c r="A636" s="619">
        <v>56203</v>
      </c>
      <c r="B636" s="620" t="s">
        <v>518</v>
      </c>
      <c r="C636" s="621" t="s">
        <v>526</v>
      </c>
    </row>
    <row r="637" spans="1:3" ht="13.5" thickBot="1">
      <c r="A637" s="619">
        <v>56243</v>
      </c>
      <c r="B637" s="620" t="s">
        <v>521</v>
      </c>
      <c r="C637" s="621" t="s">
        <v>527</v>
      </c>
    </row>
    <row r="638" spans="1:3" ht="13.5" thickBot="1">
      <c r="A638" s="622">
        <v>56250</v>
      </c>
      <c r="B638" s="623" t="s">
        <v>521</v>
      </c>
      <c r="C638" s="624" t="s">
        <v>513</v>
      </c>
    </row>
    <row r="639" spans="1:3" ht="13.5" thickBot="1">
      <c r="A639" s="619">
        <v>56289</v>
      </c>
      <c r="B639" s="620" t="s">
        <v>512</v>
      </c>
      <c r="C639" s="621" t="s">
        <v>514</v>
      </c>
    </row>
    <row r="640" spans="1:3" ht="13.5" thickBot="1">
      <c r="A640" s="619">
        <v>56290</v>
      </c>
      <c r="B640" s="620" t="s">
        <v>515</v>
      </c>
      <c r="C640" s="621" t="s">
        <v>514</v>
      </c>
    </row>
    <row r="641" spans="1:3" ht="13.5" thickBot="1">
      <c r="A641" s="619">
        <v>56335</v>
      </c>
      <c r="B641" s="620" t="s">
        <v>516</v>
      </c>
      <c r="C641" s="621" t="s">
        <v>517</v>
      </c>
    </row>
    <row r="642" spans="1:3" ht="13.5" thickBot="1">
      <c r="A642" s="619">
        <v>56360</v>
      </c>
      <c r="B642" s="620" t="s">
        <v>515</v>
      </c>
      <c r="C642" s="621" t="s">
        <v>519</v>
      </c>
    </row>
    <row r="643" spans="1:3" ht="13.5" thickBot="1">
      <c r="A643" s="619">
        <v>56370</v>
      </c>
      <c r="B643" s="620" t="s">
        <v>516</v>
      </c>
      <c r="C643" s="621" t="s">
        <v>520</v>
      </c>
    </row>
    <row r="644" spans="1:3" ht="13.5" thickBot="1">
      <c r="A644" s="619">
        <v>56397</v>
      </c>
      <c r="B644" s="620" t="s">
        <v>521</v>
      </c>
      <c r="C644" s="621" t="s">
        <v>522</v>
      </c>
    </row>
    <row r="645" spans="1:3" ht="13.5" thickBot="1">
      <c r="A645" s="619">
        <v>56499</v>
      </c>
      <c r="B645" s="620" t="s">
        <v>512</v>
      </c>
      <c r="C645" s="621" t="s">
        <v>523</v>
      </c>
    </row>
    <row r="646" spans="1:3" ht="14.25" thickBot="1">
      <c r="A646" s="619">
        <v>56534</v>
      </c>
      <c r="B646" s="620" t="s">
        <v>512</v>
      </c>
      <c r="C646" s="621" t="s">
        <v>524</v>
      </c>
    </row>
    <row r="647" spans="1:3" ht="13.5" thickBot="1">
      <c r="A647" s="619">
        <v>56555</v>
      </c>
      <c r="B647" s="620" t="s">
        <v>512</v>
      </c>
      <c r="C647" s="621" t="s">
        <v>525</v>
      </c>
    </row>
    <row r="648" spans="1:3" ht="13.5" thickBot="1">
      <c r="A648" s="619">
        <v>56568</v>
      </c>
      <c r="B648" s="620" t="s">
        <v>528</v>
      </c>
      <c r="C648" s="621" t="s">
        <v>526</v>
      </c>
    </row>
    <row r="649" spans="1:3" ht="13.5" thickBot="1">
      <c r="A649" s="619">
        <v>56608</v>
      </c>
      <c r="B649" s="620" t="s">
        <v>516</v>
      </c>
      <c r="C649" s="621" t="s">
        <v>527</v>
      </c>
    </row>
    <row r="650" spans="1:3" ht="13.5" thickBot="1">
      <c r="A650" s="622">
        <v>56615</v>
      </c>
      <c r="B650" s="623" t="s">
        <v>516</v>
      </c>
      <c r="C650" s="624" t="s">
        <v>513</v>
      </c>
    </row>
    <row r="651" spans="1:3" ht="13.5" thickBot="1">
      <c r="A651" s="619">
        <v>56674</v>
      </c>
      <c r="B651" s="620" t="s">
        <v>512</v>
      </c>
      <c r="C651" s="621" t="s">
        <v>514</v>
      </c>
    </row>
    <row r="652" spans="1:3" ht="13.5" thickBot="1">
      <c r="A652" s="619">
        <v>56675</v>
      </c>
      <c r="B652" s="620" t="s">
        <v>515</v>
      </c>
      <c r="C652" s="621" t="s">
        <v>514</v>
      </c>
    </row>
    <row r="653" spans="1:3" ht="13.5" thickBot="1">
      <c r="A653" s="619">
        <v>56720</v>
      </c>
      <c r="B653" s="620" t="s">
        <v>516</v>
      </c>
      <c r="C653" s="621" t="s">
        <v>517</v>
      </c>
    </row>
    <row r="654" spans="1:3" ht="13.5" thickBot="1">
      <c r="A654" s="619">
        <v>56725</v>
      </c>
      <c r="B654" s="620" t="s">
        <v>529</v>
      </c>
      <c r="C654" s="621" t="s">
        <v>519</v>
      </c>
    </row>
    <row r="655" spans="1:3" ht="13.5" thickBot="1">
      <c r="A655" s="619">
        <v>56735</v>
      </c>
      <c r="B655" s="620" t="s">
        <v>518</v>
      </c>
      <c r="C655" s="621" t="s">
        <v>520</v>
      </c>
    </row>
    <row r="656" spans="1:3" ht="13.5" thickBot="1">
      <c r="A656" s="619">
        <v>56782</v>
      </c>
      <c r="B656" s="620" t="s">
        <v>521</v>
      </c>
      <c r="C656" s="621" t="s">
        <v>522</v>
      </c>
    </row>
    <row r="657" spans="1:3" ht="13.5" thickBot="1">
      <c r="A657" s="619">
        <v>56864</v>
      </c>
      <c r="B657" s="620" t="s">
        <v>515</v>
      </c>
      <c r="C657" s="621" t="s">
        <v>523</v>
      </c>
    </row>
    <row r="658" spans="1:3" ht="14.25" thickBot="1">
      <c r="A658" s="619">
        <v>56899</v>
      </c>
      <c r="B658" s="620" t="s">
        <v>515</v>
      </c>
      <c r="C658" s="621" t="s">
        <v>524</v>
      </c>
    </row>
    <row r="659" spans="1:3" ht="13.5" thickBot="1">
      <c r="A659" s="619">
        <v>56920</v>
      </c>
      <c r="B659" s="620" t="s">
        <v>515</v>
      </c>
      <c r="C659" s="621" t="s">
        <v>525</v>
      </c>
    </row>
    <row r="660" spans="1:3" ht="13.5" thickBot="1">
      <c r="A660" s="619">
        <v>56933</v>
      </c>
      <c r="B660" s="620" t="s">
        <v>512</v>
      </c>
      <c r="C660" s="621" t="s">
        <v>526</v>
      </c>
    </row>
    <row r="661" spans="1:3" ht="13.5" thickBot="1">
      <c r="A661" s="619">
        <v>56973</v>
      </c>
      <c r="B661" s="620" t="s">
        <v>518</v>
      </c>
      <c r="C661" s="621" t="s">
        <v>527</v>
      </c>
    </row>
    <row r="662" spans="1:3" ht="13.5" thickBot="1">
      <c r="A662" s="622">
        <v>56980</v>
      </c>
      <c r="B662" s="623" t="s">
        <v>518</v>
      </c>
      <c r="C662" s="624" t="s">
        <v>513</v>
      </c>
    </row>
    <row r="663" spans="1:3" ht="13.5" thickBot="1">
      <c r="A663" s="619">
        <v>57024</v>
      </c>
      <c r="B663" s="620" t="s">
        <v>512</v>
      </c>
      <c r="C663" s="621" t="s">
        <v>514</v>
      </c>
    </row>
    <row r="664" spans="1:3" ht="13.5" thickBot="1">
      <c r="A664" s="619">
        <v>57025</v>
      </c>
      <c r="B664" s="620" t="s">
        <v>515</v>
      </c>
      <c r="C664" s="621" t="s">
        <v>514</v>
      </c>
    </row>
    <row r="665" spans="1:3" ht="13.5" thickBot="1">
      <c r="A665" s="619">
        <v>57070</v>
      </c>
      <c r="B665" s="620" t="s">
        <v>516</v>
      </c>
      <c r="C665" s="621" t="s">
        <v>517</v>
      </c>
    </row>
    <row r="666" spans="1:3" ht="13.5" thickBot="1">
      <c r="A666" s="619">
        <v>57091</v>
      </c>
      <c r="B666" s="620" t="s">
        <v>516</v>
      </c>
      <c r="C666" s="621" t="s">
        <v>519</v>
      </c>
    </row>
    <row r="667" spans="1:3" ht="13.5" thickBot="1">
      <c r="A667" s="619">
        <v>57101</v>
      </c>
      <c r="B667" s="620" t="s">
        <v>512</v>
      </c>
      <c r="C667" s="621" t="s">
        <v>520</v>
      </c>
    </row>
    <row r="668" spans="1:3" ht="13.5" thickBot="1">
      <c r="A668" s="619">
        <v>57132</v>
      </c>
      <c r="B668" s="620" t="s">
        <v>521</v>
      </c>
      <c r="C668" s="621" t="s">
        <v>522</v>
      </c>
    </row>
    <row r="669" spans="1:3" ht="13.5" thickBot="1">
      <c r="A669" s="619">
        <v>57230</v>
      </c>
      <c r="B669" s="620" t="s">
        <v>521</v>
      </c>
      <c r="C669" s="621" t="s">
        <v>523</v>
      </c>
    </row>
    <row r="670" spans="1:3" ht="14.25" thickBot="1">
      <c r="A670" s="619">
        <v>57265</v>
      </c>
      <c r="B670" s="620" t="s">
        <v>521</v>
      </c>
      <c r="C670" s="621" t="s">
        <v>524</v>
      </c>
    </row>
    <row r="671" spans="1:3" ht="13.5" thickBot="1">
      <c r="A671" s="619">
        <v>57286</v>
      </c>
      <c r="B671" s="620" t="s">
        <v>521</v>
      </c>
      <c r="C671" s="621" t="s">
        <v>525</v>
      </c>
    </row>
    <row r="672" spans="1:3" ht="13.5" thickBot="1">
      <c r="A672" s="619">
        <v>57299</v>
      </c>
      <c r="B672" s="620" t="s">
        <v>529</v>
      </c>
      <c r="C672" s="621" t="s">
        <v>526</v>
      </c>
    </row>
    <row r="673" spans="1:3" ht="13.5" thickBot="1">
      <c r="A673" s="619">
        <v>57339</v>
      </c>
      <c r="B673" s="620" t="s">
        <v>512</v>
      </c>
      <c r="C673" s="621" t="s">
        <v>527</v>
      </c>
    </row>
    <row r="674" spans="1:3" ht="13.5" thickBot="1">
      <c r="A674" s="622">
        <v>57346</v>
      </c>
      <c r="B674" s="623" t="s">
        <v>512</v>
      </c>
      <c r="C674" s="624" t="s">
        <v>513</v>
      </c>
    </row>
    <row r="675" spans="1:3" ht="13.5" thickBot="1">
      <c r="A675" s="619">
        <v>57409</v>
      </c>
      <c r="B675" s="620" t="s">
        <v>512</v>
      </c>
      <c r="C675" s="621" t="s">
        <v>514</v>
      </c>
    </row>
    <row r="676" spans="1:3" ht="13.5" thickBot="1">
      <c r="A676" s="619">
        <v>57410</v>
      </c>
      <c r="B676" s="620" t="s">
        <v>515</v>
      </c>
      <c r="C676" s="621" t="s">
        <v>514</v>
      </c>
    </row>
    <row r="677" spans="1:3" ht="13.5" thickBot="1">
      <c r="A677" s="619">
        <v>57455</v>
      </c>
      <c r="B677" s="620" t="s">
        <v>516</v>
      </c>
      <c r="C677" s="621" t="s">
        <v>517</v>
      </c>
    </row>
    <row r="678" spans="1:3" ht="13.5" thickBot="1">
      <c r="A678" s="619">
        <v>57456</v>
      </c>
      <c r="B678" s="620" t="s">
        <v>518</v>
      </c>
      <c r="C678" s="621" t="s">
        <v>519</v>
      </c>
    </row>
    <row r="679" spans="1:3" ht="13.5" thickBot="1">
      <c r="A679" s="619">
        <v>57466</v>
      </c>
      <c r="B679" s="620" t="s">
        <v>515</v>
      </c>
      <c r="C679" s="621" t="s">
        <v>520</v>
      </c>
    </row>
    <row r="680" spans="1:3" ht="13.5" thickBot="1">
      <c r="A680" s="619">
        <v>57517</v>
      </c>
      <c r="B680" s="620" t="s">
        <v>521</v>
      </c>
      <c r="C680" s="621" t="s">
        <v>522</v>
      </c>
    </row>
    <row r="681" spans="1:3" ht="13.5" thickBot="1">
      <c r="A681" s="619">
        <v>57595</v>
      </c>
      <c r="B681" s="620" t="s">
        <v>516</v>
      </c>
      <c r="C681" s="621" t="s">
        <v>523</v>
      </c>
    </row>
    <row r="682" spans="1:3" ht="14.25" thickBot="1">
      <c r="A682" s="619">
        <v>57630</v>
      </c>
      <c r="B682" s="620" t="s">
        <v>516</v>
      </c>
      <c r="C682" s="621" t="s">
        <v>524</v>
      </c>
    </row>
    <row r="683" spans="1:3" ht="13.5" thickBot="1">
      <c r="A683" s="619">
        <v>57651</v>
      </c>
      <c r="B683" s="620" t="s">
        <v>516</v>
      </c>
      <c r="C683" s="621" t="s">
        <v>525</v>
      </c>
    </row>
    <row r="684" spans="1:3" ht="13.5" thickBot="1">
      <c r="A684" s="619">
        <v>57664</v>
      </c>
      <c r="B684" s="620" t="s">
        <v>521</v>
      </c>
      <c r="C684" s="621" t="s">
        <v>526</v>
      </c>
    </row>
    <row r="685" spans="1:3" ht="13.5" thickBot="1">
      <c r="A685" s="619">
        <v>57704</v>
      </c>
      <c r="B685" s="620" t="s">
        <v>515</v>
      </c>
      <c r="C685" s="621" t="s">
        <v>527</v>
      </c>
    </row>
    <row r="686" spans="1:3" ht="13.5" thickBot="1">
      <c r="A686" s="622">
        <v>57711</v>
      </c>
      <c r="B686" s="623" t="s">
        <v>515</v>
      </c>
      <c r="C686" s="624" t="s">
        <v>513</v>
      </c>
    </row>
    <row r="687" spans="1:3" ht="13.5" thickBot="1">
      <c r="A687" s="619">
        <v>57766</v>
      </c>
      <c r="B687" s="620" t="s">
        <v>512</v>
      </c>
      <c r="C687" s="621" t="s">
        <v>514</v>
      </c>
    </row>
    <row r="688" spans="1:3" ht="13.5" thickBot="1">
      <c r="A688" s="619">
        <v>57767</v>
      </c>
      <c r="B688" s="620" t="s">
        <v>515</v>
      </c>
      <c r="C688" s="621" t="s">
        <v>514</v>
      </c>
    </row>
    <row r="689" spans="1:3" ht="13.5" thickBot="1">
      <c r="A689" s="619">
        <v>57812</v>
      </c>
      <c r="B689" s="620" t="s">
        <v>516</v>
      </c>
      <c r="C689" s="621" t="s">
        <v>517</v>
      </c>
    </row>
    <row r="690" spans="1:3" ht="13.5" thickBot="1">
      <c r="A690" s="619">
        <v>57821</v>
      </c>
      <c r="B690" s="620" t="s">
        <v>528</v>
      </c>
      <c r="C690" s="621" t="s">
        <v>519</v>
      </c>
    </row>
    <row r="691" spans="1:3" ht="13.5" thickBot="1">
      <c r="A691" s="619">
        <v>57831</v>
      </c>
      <c r="B691" s="620" t="s">
        <v>529</v>
      </c>
      <c r="C691" s="621" t="s">
        <v>520</v>
      </c>
    </row>
    <row r="692" spans="1:3" ht="13.5" thickBot="1">
      <c r="A692" s="619">
        <v>57874</v>
      </c>
      <c r="B692" s="620" t="s">
        <v>521</v>
      </c>
      <c r="C692" s="621" t="s">
        <v>522</v>
      </c>
    </row>
    <row r="693" spans="1:3" ht="13.5" thickBot="1">
      <c r="A693" s="619">
        <v>57960</v>
      </c>
      <c r="B693" s="620" t="s">
        <v>518</v>
      </c>
      <c r="C693" s="621" t="s">
        <v>523</v>
      </c>
    </row>
    <row r="694" spans="1:3" ht="14.25" thickBot="1">
      <c r="A694" s="619">
        <v>57995</v>
      </c>
      <c r="B694" s="620" t="s">
        <v>518</v>
      </c>
      <c r="C694" s="621" t="s">
        <v>524</v>
      </c>
    </row>
    <row r="695" spans="1:3" ht="13.5" thickBot="1">
      <c r="A695" s="619">
        <v>58016</v>
      </c>
      <c r="B695" s="620" t="s">
        <v>518</v>
      </c>
      <c r="C695" s="621" t="s">
        <v>525</v>
      </c>
    </row>
    <row r="696" spans="1:3" ht="13.5" thickBot="1">
      <c r="A696" s="619">
        <v>58029</v>
      </c>
      <c r="B696" s="620" t="s">
        <v>516</v>
      </c>
      <c r="C696" s="621" t="s">
        <v>526</v>
      </c>
    </row>
    <row r="697" spans="1:3" ht="13.5" thickBot="1">
      <c r="A697" s="619">
        <v>58069</v>
      </c>
      <c r="B697" s="620" t="s">
        <v>529</v>
      </c>
      <c r="C697" s="621" t="s">
        <v>527</v>
      </c>
    </row>
    <row r="698" spans="1:3" ht="13.5" thickBot="1">
      <c r="A698" s="622">
        <v>58076</v>
      </c>
      <c r="B698" s="623" t="s">
        <v>529</v>
      </c>
      <c r="C698" s="624" t="s">
        <v>513</v>
      </c>
    </row>
    <row r="699" spans="1:3" ht="13.5" thickBot="1">
      <c r="A699" s="619">
        <v>58116</v>
      </c>
      <c r="B699" s="620" t="s">
        <v>512</v>
      </c>
      <c r="C699" s="621" t="s">
        <v>514</v>
      </c>
    </row>
    <row r="700" spans="1:3" ht="13.5" thickBot="1">
      <c r="A700" s="619">
        <v>58117</v>
      </c>
      <c r="B700" s="620" t="s">
        <v>515</v>
      </c>
      <c r="C700" s="621" t="s">
        <v>514</v>
      </c>
    </row>
    <row r="701" spans="1:3" ht="13.5" thickBot="1">
      <c r="A701" s="619">
        <v>58162</v>
      </c>
      <c r="B701" s="620" t="s">
        <v>516</v>
      </c>
      <c r="C701" s="621" t="s">
        <v>517</v>
      </c>
    </row>
    <row r="702" spans="1:3" ht="13.5" thickBot="1">
      <c r="A702" s="619">
        <v>58186</v>
      </c>
      <c r="B702" s="620" t="s">
        <v>512</v>
      </c>
      <c r="C702" s="621" t="s">
        <v>519</v>
      </c>
    </row>
    <row r="703" spans="1:3" ht="13.5" thickBot="1">
      <c r="A703" s="619">
        <v>58196</v>
      </c>
      <c r="B703" s="620" t="s">
        <v>521</v>
      </c>
      <c r="C703" s="621" t="s">
        <v>520</v>
      </c>
    </row>
    <row r="704" spans="1:3" ht="13.5" thickBot="1">
      <c r="A704" s="619">
        <v>58224</v>
      </c>
      <c r="B704" s="620" t="s">
        <v>521</v>
      </c>
      <c r="C704" s="621" t="s">
        <v>522</v>
      </c>
    </row>
    <row r="705" spans="1:3" ht="13.5" thickBot="1">
      <c r="A705" s="619">
        <v>58325</v>
      </c>
      <c r="B705" s="620" t="s">
        <v>528</v>
      </c>
      <c r="C705" s="621" t="s">
        <v>523</v>
      </c>
    </row>
    <row r="706" spans="1:3" ht="14.25" thickBot="1">
      <c r="A706" s="619">
        <v>58360</v>
      </c>
      <c r="B706" s="620" t="s">
        <v>528</v>
      </c>
      <c r="C706" s="621" t="s">
        <v>524</v>
      </c>
    </row>
    <row r="707" spans="1:3" ht="13.5" thickBot="1">
      <c r="A707" s="619">
        <v>58381</v>
      </c>
      <c r="B707" s="620" t="s">
        <v>528</v>
      </c>
      <c r="C707" s="621" t="s">
        <v>525</v>
      </c>
    </row>
    <row r="708" spans="1:3" ht="13.5" thickBot="1">
      <c r="A708" s="619">
        <v>58394</v>
      </c>
      <c r="B708" s="620" t="s">
        <v>518</v>
      </c>
      <c r="C708" s="621" t="s">
        <v>526</v>
      </c>
    </row>
    <row r="709" spans="1:3" ht="13.5" thickBot="1">
      <c r="A709" s="619">
        <v>58434</v>
      </c>
      <c r="B709" s="620" t="s">
        <v>521</v>
      </c>
      <c r="C709" s="621" t="s">
        <v>527</v>
      </c>
    </row>
    <row r="710" spans="1:3" ht="13.5" thickBot="1">
      <c r="A710" s="622">
        <v>58441</v>
      </c>
      <c r="B710" s="623" t="s">
        <v>521</v>
      </c>
      <c r="C710" s="624" t="s">
        <v>513</v>
      </c>
    </row>
    <row r="711" spans="1:3" ht="13.5" thickBot="1">
      <c r="A711" s="619">
        <v>58501</v>
      </c>
      <c r="B711" s="620" t="s">
        <v>512</v>
      </c>
      <c r="C711" s="621" t="s">
        <v>514</v>
      </c>
    </row>
    <row r="712" spans="1:3" ht="13.5" thickBot="1">
      <c r="A712" s="619">
        <v>58502</v>
      </c>
      <c r="B712" s="620" t="s">
        <v>515</v>
      </c>
      <c r="C712" s="621" t="s">
        <v>514</v>
      </c>
    </row>
    <row r="713" spans="1:3" ht="13.5" thickBot="1">
      <c r="A713" s="619">
        <v>58547</v>
      </c>
      <c r="B713" s="620" t="s">
        <v>516</v>
      </c>
      <c r="C713" s="621" t="s">
        <v>517</v>
      </c>
    </row>
    <row r="714" spans="1:3" ht="13.5" thickBot="1">
      <c r="A714" s="619">
        <v>58552</v>
      </c>
      <c r="B714" s="620" t="s">
        <v>529</v>
      </c>
      <c r="C714" s="621" t="s">
        <v>519</v>
      </c>
    </row>
    <row r="715" spans="1:3" ht="13.5" thickBot="1">
      <c r="A715" s="619">
        <v>58562</v>
      </c>
      <c r="B715" s="620" t="s">
        <v>518</v>
      </c>
      <c r="C715" s="621" t="s">
        <v>520</v>
      </c>
    </row>
    <row r="716" spans="1:3" ht="13.5" thickBot="1">
      <c r="A716" s="619">
        <v>58609</v>
      </c>
      <c r="B716" s="620" t="s">
        <v>521</v>
      </c>
      <c r="C716" s="621" t="s">
        <v>522</v>
      </c>
    </row>
    <row r="717" spans="1:3" ht="13.5" thickBot="1">
      <c r="A717" s="619">
        <v>58691</v>
      </c>
      <c r="B717" s="620" t="s">
        <v>515</v>
      </c>
      <c r="C717" s="621" t="s">
        <v>523</v>
      </c>
    </row>
    <row r="718" spans="1:3" ht="14.25" thickBot="1">
      <c r="A718" s="619">
        <v>58726</v>
      </c>
      <c r="B718" s="620" t="s">
        <v>515</v>
      </c>
      <c r="C718" s="621" t="s">
        <v>524</v>
      </c>
    </row>
    <row r="719" spans="1:3" ht="13.5" thickBot="1">
      <c r="A719" s="619">
        <v>58747</v>
      </c>
      <c r="B719" s="620" t="s">
        <v>515</v>
      </c>
      <c r="C719" s="621" t="s">
        <v>525</v>
      </c>
    </row>
    <row r="720" spans="1:3" ht="13.5" thickBot="1">
      <c r="A720" s="619">
        <v>58760</v>
      </c>
      <c r="B720" s="620" t="s">
        <v>512</v>
      </c>
      <c r="C720" s="621" t="s">
        <v>526</v>
      </c>
    </row>
    <row r="721" spans="1:3" ht="13.5" thickBot="1">
      <c r="A721" s="619">
        <v>58800</v>
      </c>
      <c r="B721" s="620" t="s">
        <v>518</v>
      </c>
      <c r="C721" s="621" t="s">
        <v>527</v>
      </c>
    </row>
    <row r="722" spans="1:3" ht="13.5" thickBot="1">
      <c r="A722" s="622">
        <v>58807</v>
      </c>
      <c r="B722" s="623" t="s">
        <v>518</v>
      </c>
      <c r="C722" s="624" t="s">
        <v>513</v>
      </c>
    </row>
    <row r="723" spans="1:3" ht="13.5" thickBot="1">
      <c r="A723" s="619">
        <v>58858</v>
      </c>
      <c r="B723" s="620" t="s">
        <v>512</v>
      </c>
      <c r="C723" s="621" t="s">
        <v>514</v>
      </c>
    </row>
    <row r="724" spans="1:3" ht="13.5" thickBot="1">
      <c r="A724" s="619">
        <v>58859</v>
      </c>
      <c r="B724" s="620" t="s">
        <v>515</v>
      </c>
      <c r="C724" s="621" t="s">
        <v>514</v>
      </c>
    </row>
    <row r="725" spans="1:3" ht="13.5" thickBot="1">
      <c r="A725" s="619">
        <v>58904</v>
      </c>
      <c r="B725" s="620" t="s">
        <v>516</v>
      </c>
      <c r="C725" s="621" t="s">
        <v>517</v>
      </c>
    </row>
    <row r="726" spans="1:3" ht="13.5" thickBot="1">
      <c r="A726" s="619">
        <v>58917</v>
      </c>
      <c r="B726" s="620" t="s">
        <v>521</v>
      </c>
      <c r="C726" s="621" t="s">
        <v>519</v>
      </c>
    </row>
    <row r="727" spans="1:3" ht="13.5" thickBot="1">
      <c r="A727" s="619">
        <v>58927</v>
      </c>
      <c r="B727" s="620" t="s">
        <v>528</v>
      </c>
      <c r="C727" s="621" t="s">
        <v>520</v>
      </c>
    </row>
    <row r="728" spans="1:3" ht="13.5" thickBot="1">
      <c r="A728" s="619">
        <v>58966</v>
      </c>
      <c r="B728" s="620" t="s">
        <v>521</v>
      </c>
      <c r="C728" s="621" t="s">
        <v>522</v>
      </c>
    </row>
    <row r="729" spans="1:3" ht="13.5" thickBot="1">
      <c r="A729" s="619">
        <v>59056</v>
      </c>
      <c r="B729" s="620" t="s">
        <v>529</v>
      </c>
      <c r="C729" s="621" t="s">
        <v>523</v>
      </c>
    </row>
    <row r="730" spans="1:3" ht="14.25" thickBot="1">
      <c r="A730" s="619">
        <v>59091</v>
      </c>
      <c r="B730" s="620" t="s">
        <v>529</v>
      </c>
      <c r="C730" s="621" t="s">
        <v>524</v>
      </c>
    </row>
    <row r="731" spans="1:3" ht="13.5" thickBot="1">
      <c r="A731" s="619">
        <v>59112</v>
      </c>
      <c r="B731" s="620" t="s">
        <v>529</v>
      </c>
      <c r="C731" s="621" t="s">
        <v>525</v>
      </c>
    </row>
    <row r="732" spans="1:3" ht="13.5" thickBot="1">
      <c r="A732" s="619">
        <v>59125</v>
      </c>
      <c r="B732" s="620" t="s">
        <v>515</v>
      </c>
      <c r="C732" s="621" t="s">
        <v>526</v>
      </c>
    </row>
    <row r="733" spans="1:3" ht="13.5" thickBot="1">
      <c r="A733" s="619">
        <v>59165</v>
      </c>
      <c r="B733" s="620" t="s">
        <v>528</v>
      </c>
      <c r="C733" s="621" t="s">
        <v>527</v>
      </c>
    </row>
    <row r="734" spans="1:3" ht="13.5" thickBot="1">
      <c r="A734" s="622">
        <v>59172</v>
      </c>
      <c r="B734" s="623" t="s">
        <v>528</v>
      </c>
      <c r="C734" s="624" t="s">
        <v>513</v>
      </c>
    </row>
    <row r="735" spans="1:3" ht="13.5" thickBot="1">
      <c r="A735" s="619">
        <v>59208</v>
      </c>
      <c r="B735" s="620" t="s">
        <v>512</v>
      </c>
      <c r="C735" s="621" t="s">
        <v>514</v>
      </c>
    </row>
    <row r="736" spans="1:3" ht="13.5" thickBot="1">
      <c r="A736" s="619">
        <v>59209</v>
      </c>
      <c r="B736" s="620" t="s">
        <v>515</v>
      </c>
      <c r="C736" s="621" t="s">
        <v>514</v>
      </c>
    </row>
    <row r="737" spans="1:3" ht="13.5" thickBot="1">
      <c r="A737" s="619">
        <v>59254</v>
      </c>
      <c r="B737" s="620" t="s">
        <v>516</v>
      </c>
      <c r="C737" s="621" t="s">
        <v>517</v>
      </c>
    </row>
    <row r="738" spans="1:3" ht="13.5" thickBot="1">
      <c r="A738" s="619">
        <v>59282</v>
      </c>
      <c r="B738" s="620" t="s">
        <v>516</v>
      </c>
      <c r="C738" s="621" t="s">
        <v>519</v>
      </c>
    </row>
    <row r="739" spans="1:3" ht="13.5" thickBot="1">
      <c r="A739" s="619">
        <v>59292</v>
      </c>
      <c r="B739" s="620" t="s">
        <v>512</v>
      </c>
      <c r="C739" s="621" t="s">
        <v>520</v>
      </c>
    </row>
    <row r="740" spans="1:3" ht="13.5" thickBot="1">
      <c r="A740" s="619">
        <v>59316</v>
      </c>
      <c r="B740" s="620" t="s">
        <v>521</v>
      </c>
      <c r="C740" s="621" t="s">
        <v>522</v>
      </c>
    </row>
    <row r="741" spans="1:3" ht="13.5" thickBot="1">
      <c r="A741" s="619">
        <v>59421</v>
      </c>
      <c r="B741" s="620" t="s">
        <v>521</v>
      </c>
      <c r="C741" s="621" t="s">
        <v>523</v>
      </c>
    </row>
    <row r="742" spans="1:3" ht="14.25" thickBot="1">
      <c r="A742" s="619">
        <v>59456</v>
      </c>
      <c r="B742" s="620" t="s">
        <v>521</v>
      </c>
      <c r="C742" s="621" t="s">
        <v>524</v>
      </c>
    </row>
    <row r="743" spans="1:3" ht="13.5" thickBot="1">
      <c r="A743" s="619">
        <v>59477</v>
      </c>
      <c r="B743" s="620" t="s">
        <v>521</v>
      </c>
      <c r="C743" s="621" t="s">
        <v>525</v>
      </c>
    </row>
    <row r="744" spans="1:3" ht="13.5" thickBot="1">
      <c r="A744" s="619">
        <v>59490</v>
      </c>
      <c r="B744" s="620" t="s">
        <v>529</v>
      </c>
      <c r="C744" s="621" t="s">
        <v>526</v>
      </c>
    </row>
    <row r="745" spans="1:3" ht="13.5" thickBot="1">
      <c r="A745" s="619">
        <v>59530</v>
      </c>
      <c r="B745" s="620" t="s">
        <v>512</v>
      </c>
      <c r="C745" s="621" t="s">
        <v>527</v>
      </c>
    </row>
    <row r="746" spans="1:3" ht="13.5" thickBot="1">
      <c r="A746" s="622">
        <v>59537</v>
      </c>
      <c r="B746" s="623" t="s">
        <v>512</v>
      </c>
      <c r="C746" s="624" t="s">
        <v>513</v>
      </c>
    </row>
    <row r="747" spans="1:3" ht="13.5" thickBot="1">
      <c r="A747" s="619">
        <v>59593</v>
      </c>
      <c r="B747" s="620" t="s">
        <v>512</v>
      </c>
      <c r="C747" s="621" t="s">
        <v>514</v>
      </c>
    </row>
    <row r="748" spans="1:3" ht="13.5" thickBot="1">
      <c r="A748" s="619">
        <v>59594</v>
      </c>
      <c r="B748" s="620" t="s">
        <v>515</v>
      </c>
      <c r="C748" s="621" t="s">
        <v>514</v>
      </c>
    </row>
    <row r="749" spans="1:3" ht="13.5" thickBot="1">
      <c r="A749" s="619">
        <v>59639</v>
      </c>
      <c r="B749" s="620" t="s">
        <v>516</v>
      </c>
      <c r="C749" s="621" t="s">
        <v>517</v>
      </c>
    </row>
    <row r="750" spans="1:3" ht="13.5" thickBot="1">
      <c r="A750" s="619">
        <v>59647</v>
      </c>
      <c r="B750" s="620" t="s">
        <v>518</v>
      </c>
      <c r="C750" s="621" t="s">
        <v>519</v>
      </c>
    </row>
    <row r="751" spans="1:3" ht="13.5" thickBot="1">
      <c r="A751" s="619">
        <v>59657</v>
      </c>
      <c r="B751" s="620" t="s">
        <v>515</v>
      </c>
      <c r="C751" s="621" t="s">
        <v>520</v>
      </c>
    </row>
    <row r="752" spans="1:3" ht="13.5" thickBot="1">
      <c r="A752" s="619">
        <v>59701</v>
      </c>
      <c r="B752" s="620" t="s">
        <v>521</v>
      </c>
      <c r="C752" s="621" t="s">
        <v>522</v>
      </c>
    </row>
    <row r="753" spans="1:3" ht="13.5" thickBot="1">
      <c r="A753" s="619">
        <v>59786</v>
      </c>
      <c r="B753" s="620" t="s">
        <v>516</v>
      </c>
      <c r="C753" s="621" t="s">
        <v>523</v>
      </c>
    </row>
    <row r="754" spans="1:3" ht="14.25" thickBot="1">
      <c r="A754" s="619">
        <v>59821</v>
      </c>
      <c r="B754" s="620" t="s">
        <v>516</v>
      </c>
      <c r="C754" s="621" t="s">
        <v>524</v>
      </c>
    </row>
    <row r="755" spans="1:3" ht="13.5" thickBot="1">
      <c r="A755" s="619">
        <v>59842</v>
      </c>
      <c r="B755" s="620" t="s">
        <v>516</v>
      </c>
      <c r="C755" s="621" t="s">
        <v>525</v>
      </c>
    </row>
    <row r="756" spans="1:3" ht="13.5" thickBot="1">
      <c r="A756" s="619">
        <v>59855</v>
      </c>
      <c r="B756" s="620" t="s">
        <v>521</v>
      </c>
      <c r="C756" s="621" t="s">
        <v>526</v>
      </c>
    </row>
    <row r="757" spans="1:3" ht="13.5" thickBot="1">
      <c r="A757" s="619">
        <v>59895</v>
      </c>
      <c r="B757" s="620" t="s">
        <v>515</v>
      </c>
      <c r="C757" s="621" t="s">
        <v>527</v>
      </c>
    </row>
    <row r="758" spans="1:3" ht="13.5" thickBot="1">
      <c r="A758" s="622">
        <v>59902</v>
      </c>
      <c r="B758" s="623" t="s">
        <v>515</v>
      </c>
      <c r="C758" s="624" t="s">
        <v>513</v>
      </c>
    </row>
    <row r="759" spans="1:3" ht="13.5" thickBot="1">
      <c r="A759" s="619">
        <v>59950</v>
      </c>
      <c r="B759" s="620" t="s">
        <v>512</v>
      </c>
      <c r="C759" s="621" t="s">
        <v>514</v>
      </c>
    </row>
    <row r="760" spans="1:3" ht="13.5" thickBot="1">
      <c r="A760" s="619">
        <v>59951</v>
      </c>
      <c r="B760" s="620" t="s">
        <v>515</v>
      </c>
      <c r="C760" s="621" t="s">
        <v>514</v>
      </c>
    </row>
    <row r="761" spans="1:3" ht="13.5" thickBot="1">
      <c r="A761" s="619">
        <v>59996</v>
      </c>
      <c r="B761" s="620" t="s">
        <v>516</v>
      </c>
      <c r="C761" s="621" t="s">
        <v>517</v>
      </c>
    </row>
    <row r="762" spans="1:3" ht="13.5" thickBot="1">
      <c r="A762" s="619">
        <v>60013</v>
      </c>
      <c r="B762" s="620" t="s">
        <v>512</v>
      </c>
      <c r="C762" s="621" t="s">
        <v>519</v>
      </c>
    </row>
    <row r="763" spans="1:3" ht="13.5" thickBot="1">
      <c r="A763" s="619">
        <v>60023</v>
      </c>
      <c r="B763" s="620" t="s">
        <v>521</v>
      </c>
      <c r="C763" s="621" t="s">
        <v>520</v>
      </c>
    </row>
    <row r="764" spans="1:3" ht="13.5" thickBot="1">
      <c r="A764" s="619">
        <v>60058</v>
      </c>
      <c r="B764" s="620" t="s">
        <v>521</v>
      </c>
      <c r="C764" s="621" t="s">
        <v>522</v>
      </c>
    </row>
    <row r="765" spans="1:3" ht="13.5" thickBot="1">
      <c r="A765" s="619">
        <v>60152</v>
      </c>
      <c r="B765" s="620" t="s">
        <v>528</v>
      </c>
      <c r="C765" s="621" t="s">
        <v>523</v>
      </c>
    </row>
    <row r="766" spans="1:3" ht="14.25" thickBot="1">
      <c r="A766" s="619">
        <v>60187</v>
      </c>
      <c r="B766" s="620" t="s">
        <v>528</v>
      </c>
      <c r="C766" s="621" t="s">
        <v>524</v>
      </c>
    </row>
    <row r="767" spans="1:3" ht="13.5" thickBot="1">
      <c r="A767" s="619">
        <v>60208</v>
      </c>
      <c r="B767" s="620" t="s">
        <v>528</v>
      </c>
      <c r="C767" s="621" t="s">
        <v>525</v>
      </c>
    </row>
    <row r="768" spans="1:3" ht="13.5" thickBot="1">
      <c r="A768" s="619">
        <v>60221</v>
      </c>
      <c r="B768" s="620" t="s">
        <v>518</v>
      </c>
      <c r="C768" s="621" t="s">
        <v>526</v>
      </c>
    </row>
    <row r="769" spans="1:3" ht="13.5" thickBot="1">
      <c r="A769" s="619">
        <v>60261</v>
      </c>
      <c r="B769" s="620" t="s">
        <v>521</v>
      </c>
      <c r="C769" s="621" t="s">
        <v>527</v>
      </c>
    </row>
    <row r="770" spans="1:3" ht="13.5" thickBot="1">
      <c r="A770" s="622">
        <v>60268</v>
      </c>
      <c r="B770" s="623" t="s">
        <v>521</v>
      </c>
      <c r="C770" s="624" t="s">
        <v>513</v>
      </c>
    </row>
    <row r="771" spans="1:3" ht="13.5" thickBot="1">
      <c r="A771" s="619">
        <v>60307</v>
      </c>
      <c r="B771" s="620" t="s">
        <v>512</v>
      </c>
      <c r="C771" s="621" t="s">
        <v>514</v>
      </c>
    </row>
    <row r="772" spans="1:3" ht="13.5" thickBot="1">
      <c r="A772" s="619">
        <v>60308</v>
      </c>
      <c r="B772" s="620" t="s">
        <v>515</v>
      </c>
      <c r="C772" s="621" t="s">
        <v>514</v>
      </c>
    </row>
    <row r="773" spans="1:3" ht="13.5" thickBot="1">
      <c r="A773" s="619">
        <v>60353</v>
      </c>
      <c r="B773" s="620" t="s">
        <v>516</v>
      </c>
      <c r="C773" s="621" t="s">
        <v>517</v>
      </c>
    </row>
    <row r="774" spans="1:3" ht="13.5" thickBot="1">
      <c r="A774" s="619">
        <v>60378</v>
      </c>
      <c r="B774" s="620" t="s">
        <v>515</v>
      </c>
      <c r="C774" s="621" t="s">
        <v>519</v>
      </c>
    </row>
    <row r="775" spans="1:3" ht="13.5" thickBot="1">
      <c r="A775" s="619">
        <v>60388</v>
      </c>
      <c r="B775" s="620" t="s">
        <v>516</v>
      </c>
      <c r="C775" s="621" t="s">
        <v>520</v>
      </c>
    </row>
    <row r="776" spans="1:3" ht="13.5" thickBot="1">
      <c r="A776" s="619">
        <v>60415</v>
      </c>
      <c r="B776" s="620" t="s">
        <v>521</v>
      </c>
      <c r="C776" s="621" t="s">
        <v>522</v>
      </c>
    </row>
    <row r="777" spans="1:3" ht="13.5" thickBot="1">
      <c r="A777" s="619">
        <v>60517</v>
      </c>
      <c r="B777" s="620" t="s">
        <v>512</v>
      </c>
      <c r="C777" s="621" t="s">
        <v>523</v>
      </c>
    </row>
    <row r="778" spans="1:3" ht="14.25" thickBot="1">
      <c r="A778" s="619">
        <v>60552</v>
      </c>
      <c r="B778" s="620" t="s">
        <v>512</v>
      </c>
      <c r="C778" s="621" t="s">
        <v>524</v>
      </c>
    </row>
    <row r="779" spans="1:3" ht="13.5" thickBot="1">
      <c r="A779" s="619">
        <v>60573</v>
      </c>
      <c r="B779" s="620" t="s">
        <v>512</v>
      </c>
      <c r="C779" s="621" t="s">
        <v>525</v>
      </c>
    </row>
    <row r="780" spans="1:3" ht="13.5" thickBot="1">
      <c r="A780" s="619">
        <v>60586</v>
      </c>
      <c r="B780" s="620" t="s">
        <v>528</v>
      </c>
      <c r="C780" s="621" t="s">
        <v>526</v>
      </c>
    </row>
    <row r="781" spans="1:3" ht="13.5" thickBot="1">
      <c r="A781" s="619">
        <v>60626</v>
      </c>
      <c r="B781" s="620" t="s">
        <v>516</v>
      </c>
      <c r="C781" s="621" t="s">
        <v>527</v>
      </c>
    </row>
    <row r="782" spans="1:3" ht="13.5" thickBot="1">
      <c r="A782" s="622">
        <v>60633</v>
      </c>
      <c r="B782" s="623" t="s">
        <v>516</v>
      </c>
      <c r="C782" s="624" t="s">
        <v>513</v>
      </c>
    </row>
    <row r="783" spans="1:3" ht="13.5" thickBot="1">
      <c r="A783" s="619">
        <v>60685</v>
      </c>
      <c r="B783" s="620" t="s">
        <v>512</v>
      </c>
      <c r="C783" s="621" t="s">
        <v>514</v>
      </c>
    </row>
    <row r="784" spans="1:3" ht="13.5" thickBot="1">
      <c r="A784" s="619">
        <v>60686</v>
      </c>
      <c r="B784" s="620" t="s">
        <v>515</v>
      </c>
      <c r="C784" s="621" t="s">
        <v>514</v>
      </c>
    </row>
    <row r="785" spans="1:3" ht="13.5" thickBot="1">
      <c r="A785" s="619">
        <v>60731</v>
      </c>
      <c r="B785" s="620" t="s">
        <v>516</v>
      </c>
      <c r="C785" s="621" t="s">
        <v>517</v>
      </c>
    </row>
    <row r="786" spans="1:3" ht="13.5" thickBot="1">
      <c r="A786" s="619">
        <v>60743</v>
      </c>
      <c r="B786" s="620" t="s">
        <v>529</v>
      </c>
      <c r="C786" s="621" t="s">
        <v>519</v>
      </c>
    </row>
    <row r="787" spans="1:3" ht="13.5" thickBot="1">
      <c r="A787" s="619">
        <v>60753</v>
      </c>
      <c r="B787" s="620" t="s">
        <v>518</v>
      </c>
      <c r="C787" s="621" t="s">
        <v>520</v>
      </c>
    </row>
    <row r="788" spans="1:3" ht="13.5" thickBot="1">
      <c r="A788" s="619">
        <v>60793</v>
      </c>
      <c r="B788" s="620" t="s">
        <v>521</v>
      </c>
      <c r="C788" s="621" t="s">
        <v>522</v>
      </c>
    </row>
    <row r="789" spans="1:3" ht="13.5" thickBot="1">
      <c r="A789" s="619">
        <v>60882</v>
      </c>
      <c r="B789" s="620" t="s">
        <v>515</v>
      </c>
      <c r="C789" s="621" t="s">
        <v>523</v>
      </c>
    </row>
    <row r="790" spans="1:3" ht="14.25" thickBot="1">
      <c r="A790" s="619">
        <v>60917</v>
      </c>
      <c r="B790" s="620" t="s">
        <v>515</v>
      </c>
      <c r="C790" s="621" t="s">
        <v>524</v>
      </c>
    </row>
    <row r="791" spans="1:3" ht="13.5" thickBot="1">
      <c r="A791" s="619">
        <v>60938</v>
      </c>
      <c r="B791" s="620" t="s">
        <v>515</v>
      </c>
      <c r="C791" s="621" t="s">
        <v>525</v>
      </c>
    </row>
    <row r="792" spans="1:3" ht="13.5" thickBot="1">
      <c r="A792" s="619">
        <v>60951</v>
      </c>
      <c r="B792" s="620" t="s">
        <v>512</v>
      </c>
      <c r="C792" s="621" t="s">
        <v>526</v>
      </c>
    </row>
    <row r="793" spans="1:3" ht="13.5" thickBot="1">
      <c r="A793" s="619">
        <v>60991</v>
      </c>
      <c r="B793" s="620" t="s">
        <v>518</v>
      </c>
      <c r="C793" s="621" t="s">
        <v>527</v>
      </c>
    </row>
    <row r="794" spans="1:3" ht="13.5" thickBot="1">
      <c r="A794" s="622">
        <v>60998</v>
      </c>
      <c r="B794" s="623" t="s">
        <v>518</v>
      </c>
      <c r="C794" s="624" t="s">
        <v>513</v>
      </c>
    </row>
    <row r="795" spans="1:3" ht="13.5" thickBot="1">
      <c r="A795" s="619">
        <v>61042</v>
      </c>
      <c r="B795" s="620" t="s">
        <v>512</v>
      </c>
      <c r="C795" s="621" t="s">
        <v>514</v>
      </c>
    </row>
    <row r="796" spans="1:3" ht="13.5" thickBot="1">
      <c r="A796" s="619">
        <v>61043</v>
      </c>
      <c r="B796" s="620" t="s">
        <v>515</v>
      </c>
      <c r="C796" s="621" t="s">
        <v>514</v>
      </c>
    </row>
    <row r="797" spans="1:3" ht="13.5" thickBot="1">
      <c r="A797" s="619">
        <v>61088</v>
      </c>
      <c r="B797" s="620" t="s">
        <v>516</v>
      </c>
      <c r="C797" s="621" t="s">
        <v>517</v>
      </c>
    </row>
    <row r="798" spans="1:3" ht="13.5" thickBot="1">
      <c r="A798" s="619">
        <v>61108</v>
      </c>
      <c r="B798" s="620" t="s">
        <v>521</v>
      </c>
      <c r="C798" s="621" t="s">
        <v>519</v>
      </c>
    </row>
    <row r="799" spans="1:3" ht="13.5" thickBot="1">
      <c r="A799" s="619">
        <v>61118</v>
      </c>
      <c r="B799" s="620" t="s">
        <v>528</v>
      </c>
      <c r="C799" s="621" t="s">
        <v>520</v>
      </c>
    </row>
    <row r="800" spans="1:3" ht="13.5" thickBot="1">
      <c r="A800" s="619">
        <v>61150</v>
      </c>
      <c r="B800" s="620" t="s">
        <v>521</v>
      </c>
      <c r="C800" s="621" t="s">
        <v>522</v>
      </c>
    </row>
    <row r="801" spans="1:3" ht="13.5" thickBot="1">
      <c r="A801" s="619">
        <v>61247</v>
      </c>
      <c r="B801" s="620" t="s">
        <v>529</v>
      </c>
      <c r="C801" s="621" t="s">
        <v>523</v>
      </c>
    </row>
    <row r="802" spans="1:3" ht="14.25" thickBot="1">
      <c r="A802" s="619">
        <v>61282</v>
      </c>
      <c r="B802" s="620" t="s">
        <v>529</v>
      </c>
      <c r="C802" s="621" t="s">
        <v>524</v>
      </c>
    </row>
    <row r="803" spans="1:3" ht="13.5" thickBot="1">
      <c r="A803" s="619">
        <v>61303</v>
      </c>
      <c r="B803" s="620" t="s">
        <v>529</v>
      </c>
      <c r="C803" s="621" t="s">
        <v>525</v>
      </c>
    </row>
    <row r="804" spans="1:3" ht="13.5" thickBot="1">
      <c r="A804" s="619">
        <v>61316</v>
      </c>
      <c r="B804" s="620" t="s">
        <v>515</v>
      </c>
      <c r="C804" s="621" t="s">
        <v>526</v>
      </c>
    </row>
    <row r="805" spans="1:3" ht="13.5" thickBot="1">
      <c r="A805" s="619">
        <v>61356</v>
      </c>
      <c r="B805" s="620" t="s">
        <v>528</v>
      </c>
      <c r="C805" s="621" t="s">
        <v>527</v>
      </c>
    </row>
    <row r="806" spans="1:3" ht="13.5" thickBot="1">
      <c r="A806" s="622">
        <v>61363</v>
      </c>
      <c r="B806" s="623" t="s">
        <v>528</v>
      </c>
      <c r="C806" s="624" t="s">
        <v>513</v>
      </c>
    </row>
    <row r="807" spans="1:3" ht="13.5" thickBot="1">
      <c r="A807" s="619">
        <v>61427</v>
      </c>
      <c r="B807" s="620" t="s">
        <v>512</v>
      </c>
      <c r="C807" s="621" t="s">
        <v>514</v>
      </c>
    </row>
    <row r="808" spans="1:3" ht="13.5" thickBot="1">
      <c r="A808" s="619">
        <v>61428</v>
      </c>
      <c r="B808" s="620" t="s">
        <v>515</v>
      </c>
      <c r="C808" s="621" t="s">
        <v>514</v>
      </c>
    </row>
    <row r="809" spans="1:3" ht="13.5" thickBot="1">
      <c r="A809" s="619">
        <v>61473</v>
      </c>
      <c r="B809" s="620" t="s">
        <v>516</v>
      </c>
      <c r="C809" s="621" t="s">
        <v>517</v>
      </c>
    </row>
    <row r="810" spans="1:3" ht="13.5" thickBot="1">
      <c r="A810" s="619">
        <v>61474</v>
      </c>
      <c r="B810" s="620" t="s">
        <v>518</v>
      </c>
      <c r="C810" s="621" t="s">
        <v>519</v>
      </c>
    </row>
    <row r="811" spans="1:3" ht="13.5" thickBot="1">
      <c r="A811" s="619">
        <v>61484</v>
      </c>
      <c r="B811" s="620" t="s">
        <v>515</v>
      </c>
      <c r="C811" s="621" t="s">
        <v>520</v>
      </c>
    </row>
    <row r="812" spans="1:3" ht="13.5" thickBot="1">
      <c r="A812" s="619">
        <v>61535</v>
      </c>
      <c r="B812" s="620" t="s">
        <v>521</v>
      </c>
      <c r="C812" s="621" t="s">
        <v>522</v>
      </c>
    </row>
    <row r="813" spans="1:3" ht="13.5" thickBot="1">
      <c r="A813" s="619">
        <v>61613</v>
      </c>
      <c r="B813" s="620" t="s">
        <v>516</v>
      </c>
      <c r="C813" s="621" t="s">
        <v>523</v>
      </c>
    </row>
    <row r="814" spans="1:3" ht="14.25" thickBot="1">
      <c r="A814" s="619">
        <v>61648</v>
      </c>
      <c r="B814" s="620" t="s">
        <v>516</v>
      </c>
      <c r="C814" s="621" t="s">
        <v>524</v>
      </c>
    </row>
    <row r="815" spans="1:3" ht="13.5" thickBot="1">
      <c r="A815" s="619">
        <v>61669</v>
      </c>
      <c r="B815" s="620" t="s">
        <v>516</v>
      </c>
      <c r="C815" s="621" t="s">
        <v>525</v>
      </c>
    </row>
    <row r="816" spans="1:3" ht="13.5" thickBot="1">
      <c r="A816" s="619">
        <v>61682</v>
      </c>
      <c r="B816" s="620" t="s">
        <v>521</v>
      </c>
      <c r="C816" s="621" t="s">
        <v>526</v>
      </c>
    </row>
    <row r="817" spans="1:3" ht="13.5" thickBot="1">
      <c r="A817" s="619">
        <v>61722</v>
      </c>
      <c r="B817" s="620" t="s">
        <v>515</v>
      </c>
      <c r="C817" s="621" t="s">
        <v>527</v>
      </c>
    </row>
    <row r="818" spans="1:3" ht="13.5" thickBot="1">
      <c r="A818" s="622">
        <v>61729</v>
      </c>
      <c r="B818" s="623" t="s">
        <v>515</v>
      </c>
      <c r="C818" s="624" t="s">
        <v>513</v>
      </c>
    </row>
    <row r="819" spans="1:3" ht="13.5" thickBot="1">
      <c r="A819" s="619">
        <v>61784</v>
      </c>
      <c r="B819" s="620" t="s">
        <v>512</v>
      </c>
      <c r="C819" s="621" t="s">
        <v>514</v>
      </c>
    </row>
    <row r="820" spans="1:3" ht="13.5" thickBot="1">
      <c r="A820" s="619">
        <v>61785</v>
      </c>
      <c r="B820" s="620" t="s">
        <v>515</v>
      </c>
      <c r="C820" s="621" t="s">
        <v>514</v>
      </c>
    </row>
    <row r="821" spans="1:3" ht="13.5" thickBot="1">
      <c r="A821" s="619">
        <v>61830</v>
      </c>
      <c r="B821" s="620" t="s">
        <v>516</v>
      </c>
      <c r="C821" s="621" t="s">
        <v>517</v>
      </c>
    </row>
    <row r="822" spans="1:3" ht="13.5" thickBot="1">
      <c r="A822" s="619">
        <v>61839</v>
      </c>
      <c r="B822" s="620" t="s">
        <v>528</v>
      </c>
      <c r="C822" s="621" t="s">
        <v>519</v>
      </c>
    </row>
    <row r="823" spans="1:3" ht="13.5" thickBot="1">
      <c r="A823" s="619">
        <v>61849</v>
      </c>
      <c r="B823" s="620" t="s">
        <v>529</v>
      </c>
      <c r="C823" s="621" t="s">
        <v>520</v>
      </c>
    </row>
    <row r="824" spans="1:3" ht="13.5" thickBot="1">
      <c r="A824" s="619">
        <v>61892</v>
      </c>
      <c r="B824" s="620" t="s">
        <v>521</v>
      </c>
      <c r="C824" s="621" t="s">
        <v>522</v>
      </c>
    </row>
    <row r="825" spans="1:3" ht="13.5" thickBot="1">
      <c r="A825" s="619">
        <v>61978</v>
      </c>
      <c r="B825" s="620" t="s">
        <v>518</v>
      </c>
      <c r="C825" s="621" t="s">
        <v>523</v>
      </c>
    </row>
    <row r="826" spans="1:3" ht="14.25" thickBot="1">
      <c r="A826" s="619">
        <v>62013</v>
      </c>
      <c r="B826" s="620" t="s">
        <v>518</v>
      </c>
      <c r="C826" s="621" t="s">
        <v>524</v>
      </c>
    </row>
    <row r="827" spans="1:3" ht="13.5" thickBot="1">
      <c r="A827" s="619">
        <v>62034</v>
      </c>
      <c r="B827" s="620" t="s">
        <v>518</v>
      </c>
      <c r="C827" s="621" t="s">
        <v>525</v>
      </c>
    </row>
    <row r="828" spans="1:3" ht="13.5" thickBot="1">
      <c r="A828" s="619">
        <v>62047</v>
      </c>
      <c r="B828" s="620" t="s">
        <v>516</v>
      </c>
      <c r="C828" s="621" t="s">
        <v>526</v>
      </c>
    </row>
    <row r="829" spans="1:3" ht="13.5" thickBot="1">
      <c r="A829" s="619">
        <v>62087</v>
      </c>
      <c r="B829" s="620" t="s">
        <v>529</v>
      </c>
      <c r="C829" s="621" t="s">
        <v>527</v>
      </c>
    </row>
    <row r="830" spans="1:3" ht="13.5" thickBot="1">
      <c r="A830" s="622">
        <v>62094</v>
      </c>
      <c r="B830" s="623" t="s">
        <v>529</v>
      </c>
      <c r="C830" s="624" t="s">
        <v>513</v>
      </c>
    </row>
    <row r="831" spans="1:3" ht="13.5" thickBot="1">
      <c r="A831" s="619">
        <v>62134</v>
      </c>
      <c r="B831" s="620" t="s">
        <v>512</v>
      </c>
      <c r="C831" s="621" t="s">
        <v>514</v>
      </c>
    </row>
    <row r="832" spans="1:3" ht="13.5" thickBot="1">
      <c r="A832" s="619">
        <v>62135</v>
      </c>
      <c r="B832" s="620" t="s">
        <v>515</v>
      </c>
      <c r="C832" s="621" t="s">
        <v>514</v>
      </c>
    </row>
    <row r="833" spans="1:3" ht="13.5" thickBot="1">
      <c r="A833" s="619">
        <v>62180</v>
      </c>
      <c r="B833" s="620" t="s">
        <v>516</v>
      </c>
      <c r="C833" s="621" t="s">
        <v>517</v>
      </c>
    </row>
    <row r="834" spans="1:3" ht="13.5" thickBot="1">
      <c r="A834" s="619">
        <v>62204</v>
      </c>
      <c r="B834" s="620" t="s">
        <v>512</v>
      </c>
      <c r="C834" s="621" t="s">
        <v>519</v>
      </c>
    </row>
    <row r="835" spans="1:3" ht="13.5" thickBot="1">
      <c r="A835" s="619">
        <v>62214</v>
      </c>
      <c r="B835" s="620" t="s">
        <v>521</v>
      </c>
      <c r="C835" s="621" t="s">
        <v>520</v>
      </c>
    </row>
    <row r="836" spans="1:3" ht="13.5" thickBot="1">
      <c r="A836" s="619">
        <v>62242</v>
      </c>
      <c r="B836" s="620" t="s">
        <v>521</v>
      </c>
      <c r="C836" s="621" t="s">
        <v>522</v>
      </c>
    </row>
    <row r="837" spans="1:3" ht="13.5" thickBot="1">
      <c r="A837" s="619">
        <v>62343</v>
      </c>
      <c r="B837" s="620" t="s">
        <v>528</v>
      </c>
      <c r="C837" s="621" t="s">
        <v>523</v>
      </c>
    </row>
    <row r="838" spans="1:3" ht="14.25" thickBot="1">
      <c r="A838" s="619">
        <v>62378</v>
      </c>
      <c r="B838" s="620" t="s">
        <v>528</v>
      </c>
      <c r="C838" s="621" t="s">
        <v>524</v>
      </c>
    </row>
    <row r="839" spans="1:3" ht="13.5" thickBot="1">
      <c r="A839" s="619">
        <v>62399</v>
      </c>
      <c r="B839" s="620" t="s">
        <v>528</v>
      </c>
      <c r="C839" s="621" t="s">
        <v>525</v>
      </c>
    </row>
    <row r="840" spans="1:3" ht="13.5" thickBot="1">
      <c r="A840" s="619">
        <v>62412</v>
      </c>
      <c r="B840" s="620" t="s">
        <v>518</v>
      </c>
      <c r="C840" s="621" t="s">
        <v>526</v>
      </c>
    </row>
    <row r="841" spans="1:3" ht="13.5" thickBot="1">
      <c r="A841" s="619">
        <v>62452</v>
      </c>
      <c r="B841" s="620" t="s">
        <v>521</v>
      </c>
      <c r="C841" s="621" t="s">
        <v>527</v>
      </c>
    </row>
    <row r="842" spans="1:3" ht="13.5" thickBot="1">
      <c r="A842" s="622">
        <v>62459</v>
      </c>
      <c r="B842" s="623" t="s">
        <v>521</v>
      </c>
      <c r="C842" s="624" t="s">
        <v>513</v>
      </c>
    </row>
    <row r="843" spans="1:3" ht="13.5" thickBot="1">
      <c r="A843" s="619">
        <v>62519</v>
      </c>
      <c r="B843" s="620" t="s">
        <v>512</v>
      </c>
      <c r="C843" s="621" t="s">
        <v>514</v>
      </c>
    </row>
    <row r="844" spans="1:3" ht="13.5" thickBot="1">
      <c r="A844" s="619">
        <v>62520</v>
      </c>
      <c r="B844" s="620" t="s">
        <v>515</v>
      </c>
      <c r="C844" s="621" t="s">
        <v>514</v>
      </c>
    </row>
    <row r="845" spans="1:3" ht="13.5" thickBot="1">
      <c r="A845" s="619">
        <v>62565</v>
      </c>
      <c r="B845" s="620" t="s">
        <v>516</v>
      </c>
      <c r="C845" s="621" t="s">
        <v>517</v>
      </c>
    </row>
    <row r="846" spans="1:3" ht="13.5" thickBot="1">
      <c r="A846" s="619">
        <v>62569</v>
      </c>
      <c r="B846" s="620" t="s">
        <v>515</v>
      </c>
      <c r="C846" s="621" t="s">
        <v>519</v>
      </c>
    </row>
    <row r="847" spans="1:3" ht="13.5" thickBot="1">
      <c r="A847" s="619">
        <v>62579</v>
      </c>
      <c r="B847" s="620" t="s">
        <v>516</v>
      </c>
      <c r="C847" s="621" t="s">
        <v>520</v>
      </c>
    </row>
    <row r="848" spans="1:3" ht="13.5" thickBot="1">
      <c r="A848" s="619">
        <v>62627</v>
      </c>
      <c r="B848" s="620" t="s">
        <v>521</v>
      </c>
      <c r="C848" s="621" t="s">
        <v>522</v>
      </c>
    </row>
    <row r="849" spans="1:3" ht="13.5" thickBot="1">
      <c r="A849" s="619">
        <v>62708</v>
      </c>
      <c r="B849" s="620" t="s">
        <v>512</v>
      </c>
      <c r="C849" s="621" t="s">
        <v>523</v>
      </c>
    </row>
    <row r="850" spans="1:3" ht="14.25" thickBot="1">
      <c r="A850" s="619">
        <v>62743</v>
      </c>
      <c r="B850" s="620" t="s">
        <v>512</v>
      </c>
      <c r="C850" s="621" t="s">
        <v>524</v>
      </c>
    </row>
    <row r="851" spans="1:3" ht="13.5" thickBot="1">
      <c r="A851" s="619">
        <v>62764</v>
      </c>
      <c r="B851" s="620" t="s">
        <v>512</v>
      </c>
      <c r="C851" s="621" t="s">
        <v>525</v>
      </c>
    </row>
    <row r="852" spans="1:3" ht="13.5" thickBot="1">
      <c r="A852" s="619">
        <v>62777</v>
      </c>
      <c r="B852" s="620" t="s">
        <v>528</v>
      </c>
      <c r="C852" s="621" t="s">
        <v>526</v>
      </c>
    </row>
    <row r="853" spans="1:3" ht="13.5" thickBot="1">
      <c r="A853" s="619">
        <v>62817</v>
      </c>
      <c r="B853" s="620" t="s">
        <v>516</v>
      </c>
      <c r="C853" s="621" t="s">
        <v>527</v>
      </c>
    </row>
    <row r="854" spans="1:3" ht="13.5" thickBot="1">
      <c r="A854" s="622">
        <v>62824</v>
      </c>
      <c r="B854" s="623" t="s">
        <v>516</v>
      </c>
      <c r="C854" s="624" t="s">
        <v>513</v>
      </c>
    </row>
    <row r="855" spans="1:3" ht="13.5" thickBot="1">
      <c r="A855" s="619">
        <v>62876</v>
      </c>
      <c r="B855" s="620" t="s">
        <v>512</v>
      </c>
      <c r="C855" s="621" t="s">
        <v>514</v>
      </c>
    </row>
    <row r="856" spans="1:3" ht="13.5" thickBot="1">
      <c r="A856" s="619">
        <v>62877</v>
      </c>
      <c r="B856" s="620" t="s">
        <v>515</v>
      </c>
      <c r="C856" s="621" t="s">
        <v>514</v>
      </c>
    </row>
    <row r="857" spans="1:3" ht="13.5" thickBot="1">
      <c r="A857" s="619">
        <v>62922</v>
      </c>
      <c r="B857" s="620" t="s">
        <v>516</v>
      </c>
      <c r="C857" s="621" t="s">
        <v>517</v>
      </c>
    </row>
    <row r="858" spans="1:3" ht="13.5" thickBot="1">
      <c r="A858" s="619">
        <v>62935</v>
      </c>
      <c r="B858" s="620" t="s">
        <v>521</v>
      </c>
      <c r="C858" s="621" t="s">
        <v>519</v>
      </c>
    </row>
    <row r="859" spans="1:3" ht="13.5" thickBot="1">
      <c r="A859" s="619">
        <v>62945</v>
      </c>
      <c r="B859" s="620" t="s">
        <v>528</v>
      </c>
      <c r="C859" s="621" t="s">
        <v>520</v>
      </c>
    </row>
    <row r="860" spans="1:3" ht="13.5" thickBot="1">
      <c r="A860" s="619">
        <v>62984</v>
      </c>
      <c r="B860" s="620" t="s">
        <v>521</v>
      </c>
      <c r="C860" s="621" t="s">
        <v>522</v>
      </c>
    </row>
    <row r="861" spans="1:3" ht="13.5" thickBot="1">
      <c r="A861" s="619">
        <v>63074</v>
      </c>
      <c r="B861" s="620" t="s">
        <v>529</v>
      </c>
      <c r="C861" s="621" t="s">
        <v>523</v>
      </c>
    </row>
    <row r="862" spans="1:3" ht="14.25" thickBot="1">
      <c r="A862" s="619">
        <v>63109</v>
      </c>
      <c r="B862" s="620" t="s">
        <v>529</v>
      </c>
      <c r="C862" s="621" t="s">
        <v>524</v>
      </c>
    </row>
    <row r="863" spans="1:3" ht="13.5" thickBot="1">
      <c r="A863" s="619">
        <v>63130</v>
      </c>
      <c r="B863" s="620" t="s">
        <v>529</v>
      </c>
      <c r="C863" s="621" t="s">
        <v>525</v>
      </c>
    </row>
    <row r="864" spans="1:3" ht="13.5" thickBot="1">
      <c r="A864" s="619">
        <v>63143</v>
      </c>
      <c r="B864" s="620" t="s">
        <v>515</v>
      </c>
      <c r="C864" s="621" t="s">
        <v>526</v>
      </c>
    </row>
    <row r="865" spans="1:3" ht="13.5" thickBot="1">
      <c r="A865" s="619">
        <v>63183</v>
      </c>
      <c r="B865" s="620" t="s">
        <v>528</v>
      </c>
      <c r="C865" s="621" t="s">
        <v>527</v>
      </c>
    </row>
    <row r="866" spans="1:3" ht="13.5" thickBot="1">
      <c r="A866" s="622">
        <v>63190</v>
      </c>
      <c r="B866" s="623" t="s">
        <v>528</v>
      </c>
      <c r="C866" s="624" t="s">
        <v>513</v>
      </c>
    </row>
    <row r="867" spans="1:3" ht="13.5" thickBot="1">
      <c r="A867" s="619">
        <v>63226</v>
      </c>
      <c r="B867" s="620" t="s">
        <v>512</v>
      </c>
      <c r="C867" s="621" t="s">
        <v>514</v>
      </c>
    </row>
    <row r="868" spans="1:3" ht="13.5" thickBot="1">
      <c r="A868" s="619">
        <v>63227</v>
      </c>
      <c r="B868" s="620" t="s">
        <v>515</v>
      </c>
      <c r="C868" s="621" t="s">
        <v>514</v>
      </c>
    </row>
    <row r="869" spans="1:3" ht="13.5" thickBot="1">
      <c r="A869" s="619">
        <v>63272</v>
      </c>
      <c r="B869" s="620" t="s">
        <v>516</v>
      </c>
      <c r="C869" s="621" t="s">
        <v>517</v>
      </c>
    </row>
    <row r="870" spans="1:3" ht="13.5" thickBot="1">
      <c r="A870" s="619">
        <v>63300</v>
      </c>
      <c r="B870" s="620" t="s">
        <v>516</v>
      </c>
      <c r="C870" s="621" t="s">
        <v>519</v>
      </c>
    </row>
    <row r="871" spans="1:3" ht="13.5" thickBot="1">
      <c r="A871" s="619">
        <v>63310</v>
      </c>
      <c r="B871" s="620" t="s">
        <v>512</v>
      </c>
      <c r="C871" s="621" t="s">
        <v>520</v>
      </c>
    </row>
    <row r="872" spans="1:3" ht="13.5" thickBot="1">
      <c r="A872" s="619">
        <v>63334</v>
      </c>
      <c r="B872" s="620" t="s">
        <v>521</v>
      </c>
      <c r="C872" s="621" t="s">
        <v>522</v>
      </c>
    </row>
    <row r="873" spans="1:3" ht="13.5" thickBot="1">
      <c r="A873" s="619">
        <v>63439</v>
      </c>
      <c r="B873" s="620" t="s">
        <v>521</v>
      </c>
      <c r="C873" s="621" t="s">
        <v>523</v>
      </c>
    </row>
    <row r="874" spans="1:3" ht="14.25" thickBot="1">
      <c r="A874" s="619">
        <v>63474</v>
      </c>
      <c r="B874" s="620" t="s">
        <v>521</v>
      </c>
      <c r="C874" s="621" t="s">
        <v>524</v>
      </c>
    </row>
    <row r="875" spans="1:3" ht="13.5" thickBot="1">
      <c r="A875" s="619">
        <v>63495</v>
      </c>
      <c r="B875" s="620" t="s">
        <v>521</v>
      </c>
      <c r="C875" s="621" t="s">
        <v>525</v>
      </c>
    </row>
    <row r="876" spans="1:3" ht="13.5" thickBot="1">
      <c r="A876" s="619">
        <v>63508</v>
      </c>
      <c r="B876" s="620" t="s">
        <v>529</v>
      </c>
      <c r="C876" s="621" t="s">
        <v>526</v>
      </c>
    </row>
    <row r="877" spans="1:3" ht="13.5" thickBot="1">
      <c r="A877" s="619">
        <v>63548</v>
      </c>
      <c r="B877" s="620" t="s">
        <v>512</v>
      </c>
      <c r="C877" s="621" t="s">
        <v>527</v>
      </c>
    </row>
    <row r="878" spans="1:3" ht="13.5" thickBot="1">
      <c r="A878" s="622">
        <v>63555</v>
      </c>
      <c r="B878" s="623" t="s">
        <v>512</v>
      </c>
      <c r="C878" s="624" t="s">
        <v>513</v>
      </c>
    </row>
    <row r="879" spans="1:3" ht="13.5" thickBot="1">
      <c r="A879" s="619">
        <v>63611</v>
      </c>
      <c r="B879" s="620" t="s">
        <v>512</v>
      </c>
      <c r="C879" s="621" t="s">
        <v>514</v>
      </c>
    </row>
    <row r="880" spans="1:3" ht="13.5" thickBot="1">
      <c r="A880" s="619">
        <v>63612</v>
      </c>
      <c r="B880" s="620" t="s">
        <v>515</v>
      </c>
      <c r="C880" s="621" t="s">
        <v>514</v>
      </c>
    </row>
    <row r="881" spans="1:3" ht="13.5" thickBot="1">
      <c r="A881" s="619">
        <v>63657</v>
      </c>
      <c r="B881" s="620" t="s">
        <v>516</v>
      </c>
      <c r="C881" s="621" t="s">
        <v>517</v>
      </c>
    </row>
    <row r="882" spans="1:3" ht="13.5" thickBot="1">
      <c r="A882" s="619">
        <v>63665</v>
      </c>
      <c r="B882" s="620" t="s">
        <v>518</v>
      </c>
      <c r="C882" s="621" t="s">
        <v>519</v>
      </c>
    </row>
    <row r="883" spans="1:3" ht="13.5" thickBot="1">
      <c r="A883" s="619">
        <v>63675</v>
      </c>
      <c r="B883" s="620" t="s">
        <v>515</v>
      </c>
      <c r="C883" s="621" t="s">
        <v>520</v>
      </c>
    </row>
    <row r="884" spans="1:3" ht="13.5" thickBot="1">
      <c r="A884" s="619">
        <v>63719</v>
      </c>
      <c r="B884" s="620" t="s">
        <v>521</v>
      </c>
      <c r="C884" s="621" t="s">
        <v>522</v>
      </c>
    </row>
    <row r="885" spans="1:3" ht="13.5" thickBot="1">
      <c r="A885" s="619">
        <v>63804</v>
      </c>
      <c r="B885" s="620" t="s">
        <v>516</v>
      </c>
      <c r="C885" s="621" t="s">
        <v>523</v>
      </c>
    </row>
    <row r="886" spans="1:3" ht="14.25" thickBot="1">
      <c r="A886" s="619">
        <v>63839</v>
      </c>
      <c r="B886" s="620" t="s">
        <v>516</v>
      </c>
      <c r="C886" s="621" t="s">
        <v>524</v>
      </c>
    </row>
    <row r="887" spans="1:3" ht="13.5" thickBot="1">
      <c r="A887" s="619">
        <v>63860</v>
      </c>
      <c r="B887" s="620" t="s">
        <v>516</v>
      </c>
      <c r="C887" s="621" t="s">
        <v>525</v>
      </c>
    </row>
    <row r="888" spans="1:3" ht="13.5" thickBot="1">
      <c r="A888" s="619">
        <v>63873</v>
      </c>
      <c r="B888" s="620" t="s">
        <v>521</v>
      </c>
      <c r="C888" s="621" t="s">
        <v>526</v>
      </c>
    </row>
    <row r="889" spans="1:3" ht="13.5" thickBot="1">
      <c r="A889" s="619">
        <v>63913</v>
      </c>
      <c r="B889" s="620" t="s">
        <v>515</v>
      </c>
      <c r="C889" s="621" t="s">
        <v>527</v>
      </c>
    </row>
    <row r="890" spans="1:3" ht="13.5" thickBot="1">
      <c r="A890" s="622">
        <v>63920</v>
      </c>
      <c r="B890" s="623" t="s">
        <v>515</v>
      </c>
      <c r="C890" s="624" t="s">
        <v>513</v>
      </c>
    </row>
    <row r="891" spans="1:3" ht="13.5" thickBot="1">
      <c r="A891" s="619">
        <v>63968</v>
      </c>
      <c r="B891" s="620" t="s">
        <v>512</v>
      </c>
      <c r="C891" s="621" t="s">
        <v>514</v>
      </c>
    </row>
    <row r="892" spans="1:3" ht="13.5" thickBot="1">
      <c r="A892" s="619">
        <v>63969</v>
      </c>
      <c r="B892" s="620" t="s">
        <v>515</v>
      </c>
      <c r="C892" s="621" t="s">
        <v>514</v>
      </c>
    </row>
    <row r="893" spans="1:3" ht="13.5" thickBot="1">
      <c r="A893" s="619">
        <v>64014</v>
      </c>
      <c r="B893" s="620" t="s">
        <v>516</v>
      </c>
      <c r="C893" s="621" t="s">
        <v>517</v>
      </c>
    </row>
    <row r="894" spans="1:3" ht="13.5" thickBot="1">
      <c r="A894" s="619">
        <v>64030</v>
      </c>
      <c r="B894" s="620" t="s">
        <v>528</v>
      </c>
      <c r="C894" s="621" t="s">
        <v>519</v>
      </c>
    </row>
    <row r="895" spans="1:3" ht="13.5" thickBot="1">
      <c r="A895" s="619">
        <v>64040</v>
      </c>
      <c r="B895" s="620" t="s">
        <v>529</v>
      </c>
      <c r="C895" s="621" t="s">
        <v>520</v>
      </c>
    </row>
    <row r="896" spans="1:3" ht="13.5" thickBot="1">
      <c r="A896" s="619">
        <v>64076</v>
      </c>
      <c r="B896" s="620" t="s">
        <v>521</v>
      </c>
      <c r="C896" s="621" t="s">
        <v>522</v>
      </c>
    </row>
    <row r="897" spans="1:3" ht="13.5" thickBot="1">
      <c r="A897" s="619">
        <v>64169</v>
      </c>
      <c r="B897" s="620" t="s">
        <v>518</v>
      </c>
      <c r="C897" s="621" t="s">
        <v>523</v>
      </c>
    </row>
    <row r="898" spans="1:3" ht="14.25" thickBot="1">
      <c r="A898" s="619">
        <v>64204</v>
      </c>
      <c r="B898" s="620" t="s">
        <v>518</v>
      </c>
      <c r="C898" s="621" t="s">
        <v>524</v>
      </c>
    </row>
    <row r="899" spans="1:3" ht="13.5" thickBot="1">
      <c r="A899" s="619">
        <v>64225</v>
      </c>
      <c r="B899" s="620" t="s">
        <v>518</v>
      </c>
      <c r="C899" s="621" t="s">
        <v>525</v>
      </c>
    </row>
    <row r="900" spans="1:3" ht="13.5" thickBot="1">
      <c r="A900" s="619">
        <v>64238</v>
      </c>
      <c r="B900" s="620" t="s">
        <v>516</v>
      </c>
      <c r="C900" s="621" t="s">
        <v>526</v>
      </c>
    </row>
    <row r="901" spans="1:3" ht="13.5" thickBot="1">
      <c r="A901" s="619">
        <v>64278</v>
      </c>
      <c r="B901" s="620" t="s">
        <v>529</v>
      </c>
      <c r="C901" s="621" t="s">
        <v>527</v>
      </c>
    </row>
    <row r="902" spans="1:3" ht="13.5" thickBot="1">
      <c r="A902" s="622">
        <v>64285</v>
      </c>
      <c r="B902" s="623" t="s">
        <v>529</v>
      </c>
      <c r="C902" s="624" t="s">
        <v>513</v>
      </c>
    </row>
    <row r="903" spans="1:3" ht="13.5" thickBot="1">
      <c r="A903" s="619">
        <v>64346</v>
      </c>
      <c r="B903" s="620" t="s">
        <v>512</v>
      </c>
      <c r="C903" s="621" t="s">
        <v>514</v>
      </c>
    </row>
    <row r="904" spans="1:3" ht="13.5" thickBot="1">
      <c r="A904" s="619">
        <v>64347</v>
      </c>
      <c r="B904" s="620" t="s">
        <v>515</v>
      </c>
      <c r="C904" s="621" t="s">
        <v>514</v>
      </c>
    </row>
    <row r="905" spans="1:3" ht="13.5" thickBot="1">
      <c r="A905" s="619">
        <v>64392</v>
      </c>
      <c r="B905" s="620" t="s">
        <v>516</v>
      </c>
      <c r="C905" s="621" t="s">
        <v>517</v>
      </c>
    </row>
    <row r="906" spans="1:3" ht="13.5" thickBot="1">
      <c r="A906" s="619">
        <v>64396</v>
      </c>
      <c r="B906" s="620" t="s">
        <v>515</v>
      </c>
      <c r="C906" s="621" t="s">
        <v>519</v>
      </c>
    </row>
    <row r="907" spans="1:3" ht="13.5" thickBot="1">
      <c r="A907" s="619">
        <v>64406</v>
      </c>
      <c r="B907" s="620" t="s">
        <v>516</v>
      </c>
      <c r="C907" s="621" t="s">
        <v>520</v>
      </c>
    </row>
    <row r="908" spans="1:3" ht="13.5" thickBot="1">
      <c r="A908" s="619">
        <v>64454</v>
      </c>
      <c r="B908" s="620" t="s">
        <v>521</v>
      </c>
      <c r="C908" s="621" t="s">
        <v>522</v>
      </c>
    </row>
    <row r="909" spans="1:3" ht="13.5" thickBot="1">
      <c r="A909" s="619">
        <v>64535</v>
      </c>
      <c r="B909" s="620" t="s">
        <v>512</v>
      </c>
      <c r="C909" s="621" t="s">
        <v>523</v>
      </c>
    </row>
    <row r="910" spans="1:3" ht="14.25" thickBot="1">
      <c r="A910" s="619">
        <v>64570</v>
      </c>
      <c r="B910" s="620" t="s">
        <v>512</v>
      </c>
      <c r="C910" s="621" t="s">
        <v>524</v>
      </c>
    </row>
    <row r="911" spans="1:3" ht="13.5" thickBot="1">
      <c r="A911" s="619">
        <v>64591</v>
      </c>
      <c r="B911" s="620" t="s">
        <v>512</v>
      </c>
      <c r="C911" s="621" t="s">
        <v>525</v>
      </c>
    </row>
    <row r="912" spans="1:3" ht="13.5" thickBot="1">
      <c r="A912" s="619">
        <v>64604</v>
      </c>
      <c r="B912" s="620" t="s">
        <v>528</v>
      </c>
      <c r="C912" s="621" t="s">
        <v>526</v>
      </c>
    </row>
    <row r="913" spans="1:3" ht="13.5" thickBot="1">
      <c r="A913" s="619">
        <v>64644</v>
      </c>
      <c r="B913" s="620" t="s">
        <v>516</v>
      </c>
      <c r="C913" s="621" t="s">
        <v>527</v>
      </c>
    </row>
    <row r="914" spans="1:3" ht="13.5" thickBot="1">
      <c r="A914" s="622">
        <v>64651</v>
      </c>
      <c r="B914" s="623" t="s">
        <v>516</v>
      </c>
      <c r="C914" s="624" t="s">
        <v>513</v>
      </c>
    </row>
    <row r="915" spans="1:3" ht="13.5" thickBot="1">
      <c r="A915" s="619">
        <v>64703</v>
      </c>
      <c r="B915" s="620" t="s">
        <v>512</v>
      </c>
      <c r="C915" s="621" t="s">
        <v>514</v>
      </c>
    </row>
    <row r="916" spans="1:3" ht="13.5" thickBot="1">
      <c r="A916" s="619">
        <v>64704</v>
      </c>
      <c r="B916" s="620" t="s">
        <v>515</v>
      </c>
      <c r="C916" s="621" t="s">
        <v>514</v>
      </c>
    </row>
    <row r="917" spans="1:3" ht="13.5" thickBot="1">
      <c r="A917" s="619">
        <v>64749</v>
      </c>
      <c r="B917" s="620" t="s">
        <v>516</v>
      </c>
      <c r="C917" s="621" t="s">
        <v>517</v>
      </c>
    </row>
    <row r="918" spans="1:3" ht="13.5" thickBot="1">
      <c r="A918" s="619">
        <v>64761</v>
      </c>
      <c r="B918" s="620" t="s">
        <v>529</v>
      </c>
      <c r="C918" s="621" t="s">
        <v>519</v>
      </c>
    </row>
    <row r="919" spans="1:3" ht="13.5" thickBot="1">
      <c r="A919" s="619">
        <v>64771</v>
      </c>
      <c r="B919" s="620" t="s">
        <v>518</v>
      </c>
      <c r="C919" s="621" t="s">
        <v>520</v>
      </c>
    </row>
    <row r="920" spans="1:3" ht="13.5" thickBot="1">
      <c r="A920" s="619">
        <v>64811</v>
      </c>
      <c r="B920" s="620" t="s">
        <v>521</v>
      </c>
      <c r="C920" s="621" t="s">
        <v>522</v>
      </c>
    </row>
    <row r="921" spans="1:3" ht="13.5" thickBot="1">
      <c r="A921" s="619">
        <v>64900</v>
      </c>
      <c r="B921" s="620" t="s">
        <v>515</v>
      </c>
      <c r="C921" s="621" t="s">
        <v>523</v>
      </c>
    </row>
    <row r="922" spans="1:3" ht="14.25" thickBot="1">
      <c r="A922" s="619">
        <v>64935</v>
      </c>
      <c r="B922" s="620" t="s">
        <v>515</v>
      </c>
      <c r="C922" s="621" t="s">
        <v>524</v>
      </c>
    </row>
    <row r="923" spans="1:3" ht="13.5" thickBot="1">
      <c r="A923" s="619">
        <v>64956</v>
      </c>
      <c r="B923" s="620" t="s">
        <v>515</v>
      </c>
      <c r="C923" s="621" t="s">
        <v>525</v>
      </c>
    </row>
    <row r="924" spans="1:3" ht="13.5" thickBot="1">
      <c r="A924" s="619">
        <v>64969</v>
      </c>
      <c r="B924" s="620" t="s">
        <v>512</v>
      </c>
      <c r="C924" s="621" t="s">
        <v>526</v>
      </c>
    </row>
    <row r="925" spans="1:3" ht="13.5" thickBot="1">
      <c r="A925" s="619">
        <v>65009</v>
      </c>
      <c r="B925" s="620" t="s">
        <v>518</v>
      </c>
      <c r="C925" s="621" t="s">
        <v>527</v>
      </c>
    </row>
    <row r="926" spans="1:3" ht="13.5" thickBot="1">
      <c r="A926" s="622">
        <v>65016</v>
      </c>
      <c r="B926" s="623" t="s">
        <v>515</v>
      </c>
      <c r="C926" s="624" t="s">
        <v>513</v>
      </c>
    </row>
    <row r="927" spans="1:3" ht="13.5" thickBot="1">
      <c r="A927" s="619">
        <v>65060</v>
      </c>
      <c r="B927" s="620" t="s">
        <v>512</v>
      </c>
      <c r="C927" s="621" t="s">
        <v>514</v>
      </c>
    </row>
    <row r="928" spans="1:3" ht="13.5" thickBot="1">
      <c r="A928" s="619">
        <v>65061</v>
      </c>
      <c r="B928" s="620" t="s">
        <v>515</v>
      </c>
      <c r="C928" s="621" t="s">
        <v>514</v>
      </c>
    </row>
    <row r="929" spans="1:3" ht="13.5" thickBot="1">
      <c r="A929" s="619">
        <v>65106</v>
      </c>
      <c r="B929" s="620" t="s">
        <v>516</v>
      </c>
      <c r="C929" s="621" t="s">
        <v>517</v>
      </c>
    </row>
    <row r="930" spans="1:3" ht="13.5" thickBot="1">
      <c r="A930" s="619">
        <v>65126</v>
      </c>
      <c r="B930" s="620" t="s">
        <v>521</v>
      </c>
      <c r="C930" s="621" t="s">
        <v>519</v>
      </c>
    </row>
    <row r="931" spans="1:3" ht="13.5" thickBot="1">
      <c r="A931" s="619">
        <v>65136</v>
      </c>
      <c r="B931" s="620" t="s">
        <v>529</v>
      </c>
      <c r="C931" s="621" t="s">
        <v>520</v>
      </c>
    </row>
    <row r="932" spans="1:3" ht="13.5" thickBot="1">
      <c r="A932" s="619">
        <v>65168</v>
      </c>
      <c r="B932" s="620" t="s">
        <v>521</v>
      </c>
      <c r="C932" s="621" t="s">
        <v>522</v>
      </c>
    </row>
    <row r="933" spans="1:3" ht="13.5" thickBot="1">
      <c r="A933" s="619">
        <v>65265</v>
      </c>
      <c r="B933" s="620" t="s">
        <v>529</v>
      </c>
      <c r="C933" s="621" t="s">
        <v>523</v>
      </c>
    </row>
    <row r="934" spans="1:3" ht="14.25" thickBot="1">
      <c r="A934" s="619">
        <v>65300</v>
      </c>
      <c r="B934" s="620" t="s">
        <v>529</v>
      </c>
      <c r="C934" s="621" t="s">
        <v>524</v>
      </c>
    </row>
    <row r="935" spans="1:3" ht="13.5" thickBot="1">
      <c r="A935" s="619">
        <v>65321</v>
      </c>
      <c r="B935" s="620" t="s">
        <v>529</v>
      </c>
      <c r="C935" s="621" t="s">
        <v>525</v>
      </c>
    </row>
    <row r="936" spans="1:3" ht="13.5" thickBot="1">
      <c r="A936" s="619">
        <v>65334</v>
      </c>
      <c r="B936" s="620" t="s">
        <v>515</v>
      </c>
      <c r="C936" s="621" t="s">
        <v>526</v>
      </c>
    </row>
    <row r="937" spans="1:3" ht="13.5" thickBot="1">
      <c r="A937" s="619">
        <v>65374</v>
      </c>
      <c r="B937" s="620" t="s">
        <v>529</v>
      </c>
      <c r="C937" s="621" t="s">
        <v>527</v>
      </c>
    </row>
    <row r="938" spans="1:3">
      <c r="A938" s="625" t="s">
        <v>530</v>
      </c>
    </row>
    <row r="940" spans="1:3">
      <c r="A940" s="626" t="s">
        <v>531</v>
      </c>
    </row>
    <row r="942" spans="1:3">
      <c r="A942" s="626" t="s">
        <v>532</v>
      </c>
    </row>
    <row r="944" spans="1:3">
      <c r="A944" s="626" t="s">
        <v>533</v>
      </c>
    </row>
    <row r="946" spans="1:1">
      <c r="A946" s="626" t="s">
        <v>534</v>
      </c>
    </row>
  </sheetData>
  <pageMargins left="0.75" right="0.75" top="1" bottom="1" header="0.49212598499999999" footer="0.49212598499999999"/>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heetViews>
  <sheetFormatPr defaultRowHeight="12.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28</vt:i4>
      </vt:variant>
    </vt:vector>
  </HeadingPairs>
  <TitlesOfParts>
    <vt:vector size="60" baseType="lpstr">
      <vt:lpstr>Input</vt:lpstr>
      <vt:lpstr>Validation</vt: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Amortisation Profile I</vt:lpstr>
      <vt:lpstr>Amortisation Profile II</vt:lpstr>
      <vt:lpstr>Run Out Schedule</vt:lpstr>
      <vt:lpstr>Run Out Schedule II</vt:lpstr>
      <vt:lpstr>Outstanding Contracts</vt:lpstr>
      <vt:lpstr>Delinquencies</vt:lpstr>
      <vt:lpstr>Recoveries</vt:lpstr>
      <vt:lpstr>Pool Data I</vt:lpstr>
      <vt:lpstr>Pool Data II</vt:lpstr>
      <vt:lpstr>Pool Data III</vt:lpstr>
      <vt:lpstr>Pool Data IV</vt:lpstr>
      <vt:lpstr>Pool Data V</vt:lpstr>
      <vt:lpstr>Pool Data VI</vt:lpstr>
      <vt:lpstr>Glossary</vt:lpstr>
      <vt:lpstr>Data for Charts</vt:lpstr>
      <vt:lpstr>check</vt:lpstr>
      <vt:lpstr>Feriado</vt:lpstr>
      <vt:lpstr>Sheet1</vt:lpstr>
      <vt:lpstr>Sheet2</vt:lpstr>
      <vt:lpstr>Cover!_DV_C140</vt:lpstr>
      <vt:lpstr>Cover!_DV_M217</vt:lpstr>
      <vt:lpstr>Cover!_DV_M218</vt:lpstr>
      <vt:lpstr>Cover!_DV_M219</vt:lpstr>
      <vt:lpstr>Invoices</vt:lpstr>
      <vt:lpstr>'Amortisation Profile I'!Print_Area</vt:lpstr>
      <vt:lpstr>'Amortisation Profile II'!Print_Area</vt:lpstr>
      <vt:lpstr>Cover!Print_Area</vt:lpstr>
      <vt:lpstr>'Credit Enhancement'!Print_Area</vt:lpstr>
      <vt:lpstr>Glossary!Print_Area</vt:lpstr>
      <vt:lpstr>Index!Print_Area</vt:lpstr>
      <vt:lpstr>Input!Print_Area</vt:lpstr>
      <vt:lpstr>'Notes I'!Print_Area</vt:lpstr>
      <vt:lpstr>'Notes II'!Print_Area</vt:lpstr>
      <vt:lpstr>'Parties Overview'!Print_Area</vt:lpstr>
      <vt:lpstr>'Pool Data I'!Print_Area</vt:lpstr>
      <vt:lpstr>'Pool Data II'!Print_Area</vt:lpstr>
      <vt:lpstr>'Pool Data V'!Print_Area</vt:lpstr>
      <vt:lpstr>'Pool Data VI'!Print_Area</vt:lpstr>
      <vt:lpstr>Recoveries!Print_Area</vt:lpstr>
      <vt:lpstr>'Reporting Details'!Print_Area</vt:lpstr>
      <vt:lpstr>'Run Out Schedule'!Print_Area</vt:lpstr>
      <vt:lpstr>'Run Out Schedule II'!Print_Area</vt:lpstr>
      <vt:lpstr>'Swaps &amp; Waterfall'!Print_Area</vt:lpstr>
      <vt:lpstr>'Transaction Events I'!Print_Area</vt:lpstr>
      <vt:lpstr>'Transaction Events II'!Print_Area</vt:lpstr>
      <vt:lpstr>'Transaction Events III'!Print_Area</vt:lpstr>
      <vt:lpstr>Yes_No</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Biazotto, Leandro Augusto</cp:lastModifiedBy>
  <cp:lastPrinted>2019-08-22T17:35:20Z</cp:lastPrinted>
  <dcterms:created xsi:type="dcterms:W3CDTF">2006-06-27T14:17:47Z</dcterms:created>
  <dcterms:modified xsi:type="dcterms:W3CDTF">2020-03-05T17:23:00Z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Driver Brasil Three - Monthly Investor Report - draft.xlsx</vt:lpwstr>
  </property>
</Properties>
</file>